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faktur'!$9:$10</definedName>
    <definedName name="NEINV">'číselníky'!$A$1:$A$51</definedName>
    <definedName name="_xlnm.Print_Area" localSheetId="1">'Přehled smluv a faktur'!$A$1:$U$137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2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2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2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</authors>
  <commentList>
    <comment ref="G9" authorId="0">
      <text>
        <r>
          <rPr>
            <sz val="8"/>
            <rFont val="Tahoma"/>
            <family val="2"/>
          </rPr>
          <t xml:space="preserve">Datum uznatelného zdanitelného plnění
</t>
        </r>
      </text>
    </comment>
    <comment ref="O9" authorId="1">
      <text>
        <r>
          <rPr>
            <sz val="8"/>
            <rFont val="Tahoma"/>
            <family val="2"/>
          </rPr>
          <t xml:space="preserve">Nezadávat u nezpůsobilých výdajů
</t>
        </r>
      </text>
    </comment>
    <comment ref="M9" authorId="1">
      <text>
        <r>
          <rPr>
            <sz val="8"/>
            <rFont val="Tahoma"/>
            <family val="2"/>
          </rPr>
          <t>Cena celkem musí být zaokrouhlena na celé Kč dolů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2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<sst xmlns="http://schemas.openxmlformats.org/spreadsheetml/2006/main" count="399" uniqueCount="264">
  <si>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</si>
  <si>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</si>
  <si>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</si>
  <si>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</si>
  <si>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</si>
  <si>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</si>
  <si>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</si>
  <si>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</si>
  <si>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</si>
  <si>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</si>
  <si>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</si>
  <si>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</si>
  <si>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</si>
  <si>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</si>
  <si>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</si>
  <si>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</si>
  <si>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</si>
  <si>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</si>
  <si>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</si>
  <si>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</si>
  <si>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</si>
  <si>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</si>
  <si>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</si>
  <si>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</si>
  <si>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</si>
  <si>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</si>
  <si>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</si>
  <si>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</si>
  <si>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</si>
  <si>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</si>
  <si>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</si>
  <si>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</si>
  <si>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</si>
  <si>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</si>
  <si>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</si>
  <si>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</si>
  <si>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</si>
  <si>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</si>
  <si>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</si>
  <si>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</si>
  <si>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</si>
  <si>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</si>
  <si>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</si>
  <si>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</si>
  <si>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</si>
  <si>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</si>
  <si>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</si>
  <si>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</si>
  <si>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</si>
  <si>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</si>
  <si>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</si>
  <si>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</si>
  <si>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</si>
  <si>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</si>
  <si>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</si>
  <si>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</si>
  <si>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</si>
  <si>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</si>
  <si>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</si>
  <si>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</si>
  <si>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</si>
  <si>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</si>
  <si>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</si>
  <si>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</si>
  <si>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</si>
  <si>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</si>
  <si>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</si>
  <si>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</si>
  <si>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</si>
  <si>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</si>
  <si>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</si>
  <si>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</si>
  <si>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</si>
  <si>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</si>
  <si>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</si>
  <si>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</si>
  <si>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</si>
  <si>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</si>
  <si>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</si>
  <si>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</si>
  <si>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</si>
  <si>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</si>
  <si>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</si>
  <si>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</si>
  <si>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</si>
  <si>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</si>
  <si>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</si>
  <si>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</si>
  <si>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</si>
  <si>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</si>
  <si>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číslo dokladu (faktury)</t>
  </si>
  <si>
    <t>dodavatel</t>
  </si>
  <si>
    <t>IČ</t>
  </si>
  <si>
    <t>NEINV</t>
  </si>
  <si>
    <t>INV</t>
  </si>
  <si>
    <t>Nezpůsobilé výdaje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</si>
  <si>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</si>
  <si>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</si>
  <si>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</si>
  <si>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</si>
  <si>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</si>
  <si>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</si>
  <si>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</si>
  <si>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</si>
  <si>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</si>
  <si>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</si>
  <si>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</si>
  <si>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</si>
  <si>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</si>
  <si>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</si>
  <si>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</si>
  <si>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</si>
  <si>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</si>
  <si>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</si>
  <si>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</si>
  <si>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</si>
  <si>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</si>
  <si>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</si>
  <si>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</si>
  <si>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</si>
  <si>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</si>
  <si>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</si>
  <si>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</si>
  <si>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</si>
  <si>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</si>
  <si>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</si>
  <si>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</si>
  <si>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</si>
  <si>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</si>
  <si>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</si>
  <si>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</si>
  <si>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</si>
  <si>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</si>
  <si>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</si>
  <si>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</si>
  <si>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</si>
  <si>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</si>
  <si>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</si>
  <si>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</si>
  <si>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</si>
  <si>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</si>
  <si>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</si>
  <si>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</si>
  <si>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</si>
  <si>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</si>
  <si>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</si>
  <si>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</si>
  <si>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</si>
  <si>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</si>
  <si>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</si>
  <si>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</si>
  <si>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</si>
  <si>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</si>
  <si>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</si>
  <si>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</si>
  <si>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</si>
  <si>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</si>
  <si>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</si>
  <si>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</si>
  <si>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</si>
  <si>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</si>
  <si>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</si>
  <si>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</si>
  <si>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</si>
  <si>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</si>
  <si>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</si>
  <si>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</si>
  <si>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</si>
  <si>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</si>
  <si>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</si>
  <si>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</si>
  <si>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</si>
  <si>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</si>
  <si>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</si>
  <si>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</si>
  <si>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</si>
  <si>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</si>
  <si>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</si>
  <si>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</si>
  <si>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</si>
  <si>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</si>
  <si>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</si>
  <si>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</si>
  <si>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</si>
  <si>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</si>
  <si>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2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</si>
  <si>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</si>
  <si>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</si>
  <si>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</si>
  <si>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</si>
  <si>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</si>
  <si>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</si>
  <si>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</si>
  <si>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2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</si>
  <si>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</si>
  <si>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</si>
  <si>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</si>
  <si>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</si>
  <si>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</si>
  <si>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</si>
  <si>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2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</si>
  <si>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</si>
  <si>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</si>
  <si>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</si>
  <si>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</si>
  <si>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</si>
  <si>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</si>
  <si>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</si>
  <si>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</si>
  <si>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</si>
  <si>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</si>
  <si>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</si>
  <si>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</si>
  <si>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</si>
  <si>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</si>
  <si>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</si>
  <si>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</si>
  <si>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</si>
  <si>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</si>
  <si>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</si>
  <si>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</si>
  <si>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</si>
  <si>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</si>
  <si>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</si>
  <si>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</si>
  <si>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</si>
  <si>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</si>
  <si>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</si>
  <si>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</si>
  <si>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</si>
  <si>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</si>
  <si>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</si>
  <si>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</si>
  <si>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</si>
  <si>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</si>
  <si>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</si>
  <si>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</si>
  <si>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Placeno limitkou</t>
  </si>
  <si>
    <t>Způsobilé výdaje po korekci</t>
  </si>
  <si>
    <t>Způsobilé výdaje vyplacené přes limitku</t>
  </si>
  <si>
    <t>Způsobilé výdaje nevyplacené přes limitku</t>
  </si>
  <si>
    <t>Poř. číslo</t>
  </si>
  <si>
    <t>VYPLŇUJE CRR/MPSV - KOREKCE VÝDAJŮ</t>
  </si>
  <si>
    <t>INV z limitky</t>
  </si>
  <si>
    <t>INV bez limitky</t>
  </si>
  <si>
    <t>NIV z limitky</t>
  </si>
  <si>
    <t>NIV bez limitky</t>
  </si>
  <si>
    <t>Způsobilé výdaje - investice</t>
  </si>
  <si>
    <t>Způsobilé výdaje - neinvestice</t>
  </si>
  <si>
    <t>Způsobilé výdaje - investice vyplacené přes limitku</t>
  </si>
  <si>
    <t>Způsobilé výdaje - investice nevyplacené přes limitku</t>
  </si>
  <si>
    <t>Způsobilé výdaje - neinvestice vyplacené přes limitku</t>
  </si>
  <si>
    <t>Způsobilé výdaje - neinvestice nevyplacené přes limitku</t>
  </si>
  <si>
    <t>Jméno, podpis pracovníka CRR</t>
  </si>
  <si>
    <t>Zkontroloval</t>
  </si>
  <si>
    <t>Kód výběrového řízení</t>
  </si>
  <si>
    <t>Podíly dle Podmínek</t>
  </si>
  <si>
    <t>Způsobilé výdaje investiční nevyplacené přes limitku - Požadované výdaje</t>
  </si>
  <si>
    <t>Způsobilé výdaje neinvestiční nevyplacené přes limitku - Požadované výdaje</t>
  </si>
  <si>
    <t>Způsobilé výdaje neinvestiční vyplacené přes limitku - Vyúčtování vynaložených výdajů</t>
  </si>
  <si>
    <t>Způsobilé výdaje investiční vyplacené přes limitku - Vyúčtování vynaložených výdajů</t>
  </si>
  <si>
    <t>předmět faktury</t>
  </si>
  <si>
    <t>Ano</t>
  </si>
  <si>
    <t>Zdůvodnění korekce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</si>
</sst>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</numFmts>
  <fonts count="63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580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Border="1" applyAlignment="1">
      <alignment/>
    </xf>
    <xf numFmtId="0" fontId="25" fillId="0" borderId="31" xfId="0" applyFont="1" applyBorder="1" applyAlignment="1">
      <alignment horizontal="right"/>
    </xf>
    <xf numFmtId="0" fontId="25" fillId="0" borderId="31" xfId="0" applyFont="1" applyBorder="1" applyAlignment="1">
      <alignment horizontal="center"/>
    </xf>
    <xf numFmtId="173" fontId="26" fillId="0" borderId="31" xfId="0" applyNumberFormat="1" applyFont="1" applyBorder="1" applyAlignment="1">
      <alignment/>
    </xf>
    <xf numFmtId="44" fontId="26" fillId="0" borderId="31" xfId="39" applyFont="1" applyBorder="1" applyAlignment="1">
      <alignment/>
    </xf>
    <xf numFmtId="174" fontId="25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44" fontId="25" fillId="0" borderId="31" xfId="39" applyFont="1" applyBorder="1" applyAlignment="1">
      <alignment/>
    </xf>
    <xf numFmtId="44" fontId="25" fillId="0" borderId="31" xfId="0" applyNumberFormat="1" applyFont="1" applyBorder="1" applyAlignment="1">
      <alignment/>
    </xf>
    <xf numFmtId="174" fontId="25" fillId="0" borderId="31" xfId="0" applyNumberFormat="1" applyFont="1" applyBorder="1" applyAlignment="1">
      <alignment horizontal="lef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5" xfId="0" applyNumberFormat="1" applyFont="1" applyBorder="1" applyAlignment="1">
      <alignment/>
    </xf>
    <xf numFmtId="44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0" fontId="25" fillId="0" borderId="39" xfId="0" applyFont="1" applyBorder="1" applyAlignment="1">
      <alignment/>
    </xf>
    <xf numFmtId="44" fontId="25" fillId="0" borderId="40" xfId="0" applyNumberFormat="1" applyFont="1" applyBorder="1" applyAlignment="1">
      <alignment/>
    </xf>
    <xf numFmtId="44" fontId="25" fillId="0" borderId="41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2" xfId="0" applyNumberFormat="1" applyFont="1" applyBorder="1" applyAlignment="1">
      <alignment/>
    </xf>
    <xf numFmtId="14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14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4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14" fontId="22" fillId="0" borderId="44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49" xfId="0" applyFont="1" applyBorder="1" applyAlignment="1">
      <alignment/>
    </xf>
    <xf numFmtId="14" fontId="22" fillId="0" borderId="45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7" xfId="0" applyFont="1" applyBorder="1" applyAlignment="1">
      <alignment/>
    </xf>
    <xf numFmtId="3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51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4" xfId="0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2" xfId="0" applyFont="1" applyBorder="1" applyAlignment="1">
      <alignment/>
    </xf>
    <xf numFmtId="49" fontId="22" fillId="0" borderId="52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2" xfId="0" applyNumberFormat="1" applyFont="1" applyBorder="1" applyAlignment="1">
      <alignment/>
    </xf>
    <xf numFmtId="14" fontId="22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1" xfId="0" applyNumberFormat="1" applyFont="1" applyBorder="1" applyAlignment="1">
      <alignment/>
    </xf>
    <xf numFmtId="1" fontId="25" fillId="0" borderId="31" xfId="0" applyNumberFormat="1" applyFont="1" applyBorder="1" applyAlignment="1">
      <alignment/>
    </xf>
    <xf numFmtId="1" fontId="26" fillId="0" borderId="31" xfId="0" applyNumberFormat="1" applyFont="1" applyBorder="1" applyAlignment="1">
      <alignment/>
    </xf>
    <xf numFmtId="0" fontId="26" fillId="0" borderId="31" xfId="0" applyFont="1" applyBorder="1" applyAlignment="1">
      <alignment/>
    </xf>
    <xf numFmtId="44" fontId="26" fillId="0" borderId="31" xfId="39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4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6" xfId="0" applyFont="1" applyBorder="1" applyAlignment="1">
      <alignment/>
    </xf>
    <xf numFmtId="165" fontId="22" fillId="0" borderId="57" xfId="0" applyNumberFormat="1" applyFont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8" xfId="0" applyFont="1" applyBorder="1" applyAlignment="1">
      <alignment/>
    </xf>
    <xf numFmtId="39" fontId="22" fillId="32" borderId="10" xfId="0" applyNumberFormat="1" applyFont="1" applyFill="1" applyBorder="1" applyAlignment="1">
      <alignment/>
    </xf>
    <xf numFmtId="0" fontId="26" fillId="4" borderId="10" xfId="0" applyFont="1" applyFill="1" applyBorder="1" applyAlignment="1">
      <alignment horizontal="left"/>
    </xf>
    <xf numFmtId="0" fontId="25" fillId="4" borderId="10" xfId="0" applyFont="1" applyFill="1" applyBorder="1" applyAlignment="1">
      <alignment horizontal="left"/>
    </xf>
    <xf numFmtId="0" fontId="26" fillId="4" borderId="10" xfId="0" applyFont="1" applyFill="1" applyBorder="1" applyAlignment="1">
      <alignment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 applyProtection="1">
      <alignment/>
      <protection locked="0"/>
    </xf>
    <xf numFmtId="0" fontId="26" fillId="0" borderId="10" xfId="39" applyNumberFormat="1" applyFont="1" applyBorder="1" applyAlignment="1" applyProtection="1">
      <alignment/>
      <protection locked="0"/>
    </xf>
    <xf numFmtId="172" fontId="26" fillId="0" borderId="10" xfId="39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/>
      <protection locked="0"/>
    </xf>
    <xf numFmtId="164" fontId="26" fillId="0" borderId="10" xfId="0" applyNumberFormat="1" applyFont="1" applyBorder="1" applyAlignment="1" applyProtection="1">
      <alignment horizontal="center"/>
      <protection locked="0"/>
    </xf>
    <xf numFmtId="165" fontId="26" fillId="32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165" fontId="25" fillId="32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5" fillId="0" borderId="10" xfId="39" applyNumberFormat="1" applyFont="1" applyBorder="1" applyAlignment="1" applyProtection="1">
      <alignment/>
      <protection locked="0"/>
    </xf>
    <xf numFmtId="172" fontId="25" fillId="0" borderId="10" xfId="39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5" fillId="0" borderId="10" xfId="0" applyNumberFormat="1" applyFont="1" applyBorder="1" applyAlignment="1" applyProtection="1">
      <alignment/>
      <protection locked="0"/>
    </xf>
    <xf numFmtId="172" fontId="25" fillId="0" borderId="10" xfId="0" applyNumberFormat="1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/>
      <protection locked="0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4" fontId="23" fillId="0" borderId="53" xfId="0" applyNumberFormat="1" applyFont="1" applyFill="1" applyBorder="1" applyAlignment="1">
      <alignment horizontal="right"/>
    </xf>
    <xf numFmtId="4" fontId="22" fillId="0" borderId="53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4" fontId="24" fillId="0" borderId="59" xfId="0" applyNumberFormat="1" applyFont="1" applyBorder="1" applyAlignment="1">
      <alignment horizontal="center"/>
    </xf>
    <xf numFmtId="4" fontId="26" fillId="37" borderId="31" xfId="0" applyNumberFormat="1" applyFont="1" applyFill="1" applyBorder="1" applyAlignment="1">
      <alignment/>
    </xf>
    <xf numFmtId="4" fontId="25" fillId="32" borderId="31" xfId="0" applyNumberFormat="1" applyFont="1" applyFill="1" applyBorder="1" applyAlignment="1">
      <alignment/>
    </xf>
    <xf numFmtId="0" fontId="25" fillId="32" borderId="31" xfId="0" applyFont="1" applyFill="1" applyBorder="1" applyAlignment="1">
      <alignment/>
    </xf>
    <xf numFmtId="4" fontId="25" fillId="32" borderId="3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4" fontId="2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44" fontId="25" fillId="0" borderId="0" xfId="0" applyNumberFormat="1" applyFont="1" applyBorder="1" applyAlignment="1">
      <alignment horizontal="center"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60" xfId="0" applyFont="1" applyFill="1" applyBorder="1" applyAlignment="1" applyProtection="1">
      <alignment horizontal="center" vertical="center" textRotation="90" wrapText="1"/>
      <protection locked="0"/>
    </xf>
    <xf numFmtId="0" fontId="0" fillId="0" borderId="61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2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2" fillId="38" borderId="60" xfId="0" applyFont="1" applyFill="1" applyBorder="1" applyAlignment="1" applyProtection="1">
      <alignment horizontal="center" vertical="center" textRotation="90" wrapText="1"/>
      <protection locked="0"/>
    </xf>
    <xf numFmtId="0" fontId="12" fillId="38" borderId="61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60" xfId="0" applyFont="1" applyBorder="1" applyAlignment="1" applyProtection="1">
      <alignment horizontal="center" vertical="center" textRotation="90" wrapText="1"/>
      <protection locked="0"/>
    </xf>
    <xf numFmtId="0" fontId="12" fillId="0" borderId="61" xfId="0" applyFont="1" applyBorder="1" applyAlignment="1" applyProtection="1">
      <alignment horizontal="center" vertical="center" textRotation="90" wrapText="1"/>
      <protection locked="0"/>
    </xf>
    <xf numFmtId="4" fontId="7" fillId="33" borderId="51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2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 horizontal="center" vertical="center" textRotation="90" wrapText="1"/>
      <protection locked="0"/>
    </xf>
    <xf numFmtId="0" fontId="0" fillId="0" borderId="61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4" fontId="4" fillId="33" borderId="63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4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5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22" xfId="47" applyFont="1" applyFill="1" applyBorder="1" applyAlignment="1" applyProtection="1">
      <alignment horizontal="center" vertical="center" wrapText="1"/>
      <protection hidden="1" locked="0"/>
    </xf>
    <xf numFmtId="0" fontId="7" fillId="33" borderId="15" xfId="47" applyFont="1" applyFill="1" applyBorder="1" applyAlignment="1" applyProtection="1">
      <alignment horizontal="center" vertical="center" wrapText="1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2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67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34" borderId="62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35" borderId="67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70" xfId="0" applyNumberFormat="1" applyFont="1" applyFill="1" applyBorder="1" applyAlignment="1" applyProtection="1">
      <alignment horizontal="right"/>
      <protection hidden="1"/>
    </xf>
    <xf numFmtId="166" fontId="3" fillId="35" borderId="64" xfId="0" applyNumberFormat="1" applyFont="1" applyFill="1" applyBorder="1" applyAlignment="1" applyProtection="1">
      <alignment horizontal="right"/>
      <protection hidden="1"/>
    </xf>
    <xf numFmtId="166" fontId="3" fillId="35" borderId="71" xfId="0" applyNumberFormat="1" applyFont="1" applyFill="1" applyBorder="1" applyAlignment="1" applyProtection="1">
      <alignment horizontal="right"/>
      <protection hidden="1"/>
    </xf>
    <xf numFmtId="166" fontId="3" fillId="35" borderId="72" xfId="0" applyNumberFormat="1" applyFont="1" applyFill="1" applyBorder="1" applyAlignment="1" applyProtection="1">
      <alignment horizontal="right"/>
      <protection hidden="1"/>
    </xf>
    <xf numFmtId="166" fontId="3" fillId="35" borderId="73" xfId="0" applyNumberFormat="1" applyFont="1" applyFill="1" applyBorder="1" applyAlignment="1" applyProtection="1">
      <alignment horizontal="right"/>
      <protection hidden="1"/>
    </xf>
    <xf numFmtId="166" fontId="3" fillId="35" borderId="74" xfId="0" applyNumberFormat="1" applyFont="1" applyFill="1" applyBorder="1" applyAlignment="1" applyProtection="1">
      <alignment horizontal="right"/>
      <protection hidden="1"/>
    </xf>
    <xf numFmtId="3" fontId="4" fillId="35" borderId="70" xfId="0" applyNumberFormat="1" applyFont="1" applyFill="1" applyBorder="1" applyAlignment="1" applyProtection="1">
      <alignment horizontal="left" vertical="center"/>
      <protection hidden="1" locked="0"/>
    </xf>
    <xf numFmtId="3" fontId="4" fillId="35" borderId="65" xfId="0" applyNumberFormat="1" applyFont="1" applyFill="1" applyBorder="1" applyAlignment="1" applyProtection="1">
      <alignment horizontal="left" vertical="center"/>
      <protection hidden="1" locked="0"/>
    </xf>
    <xf numFmtId="3" fontId="4" fillId="35" borderId="75" xfId="0" applyNumberFormat="1" applyFont="1" applyFill="1" applyBorder="1" applyAlignment="1" applyProtection="1">
      <alignment horizontal="left" vertical="center"/>
      <protection hidden="1" locked="0"/>
    </xf>
    <xf numFmtId="3" fontId="4" fillId="35" borderId="63" xfId="0" applyNumberFormat="1" applyFont="1" applyFill="1" applyBorder="1" applyAlignment="1" applyProtection="1">
      <alignment horizontal="left" vertical="center"/>
      <protection hidden="1" locked="0"/>
    </xf>
    <xf numFmtId="0" fontId="4" fillId="35" borderId="72" xfId="0" applyFont="1" applyFill="1" applyBorder="1" applyAlignment="1" applyProtection="1">
      <alignment horizontal="left" vertical="center"/>
      <protection hidden="1" locked="0"/>
    </xf>
    <xf numFmtId="0" fontId="4" fillId="35" borderId="76" xfId="0" applyFont="1" applyFill="1" applyBorder="1" applyAlignment="1" applyProtection="1">
      <alignment horizontal="left" vertical="center"/>
      <protection hidden="1" locked="0"/>
    </xf>
    <xf numFmtId="0" fontId="4" fillId="35" borderId="77" xfId="0" applyFont="1" applyFill="1" applyBorder="1" applyAlignment="1" applyProtection="1">
      <alignment horizontal="left" vertical="center"/>
      <protection hidden="1" locked="0"/>
    </xf>
    <xf numFmtId="0" fontId="4" fillId="35" borderId="78" xfId="0" applyFont="1" applyFill="1" applyBorder="1" applyAlignment="1" applyProtection="1">
      <alignment horizontal="left" vertical="center"/>
      <protection hidden="1" locked="0"/>
    </xf>
    <xf numFmtId="0" fontId="12" fillId="36" borderId="6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166" fontId="3" fillId="35" borderId="72" xfId="0" applyNumberFormat="1" applyFont="1" applyFill="1" applyBorder="1" applyAlignment="1" applyProtection="1">
      <alignment vertical="center"/>
      <protection hidden="1"/>
    </xf>
    <xf numFmtId="166" fontId="3" fillId="35" borderId="73" xfId="0" applyNumberFormat="1" applyFont="1" applyFill="1" applyBorder="1" applyAlignment="1" applyProtection="1">
      <alignment vertical="center"/>
      <protection hidden="1"/>
    </xf>
    <xf numFmtId="166" fontId="3" fillId="35" borderId="78" xfId="0" applyNumberFormat="1" applyFont="1" applyFill="1" applyBorder="1" applyAlignment="1" applyProtection="1">
      <alignment vertical="center"/>
      <protection hidden="1"/>
    </xf>
    <xf numFmtId="166" fontId="7" fillId="0" borderId="79" xfId="0" applyNumberFormat="1" applyFont="1" applyFill="1" applyBorder="1" applyAlignment="1" applyProtection="1">
      <alignment horizontal="center"/>
      <protection hidden="1" locked="0"/>
    </xf>
    <xf numFmtId="166" fontId="7" fillId="0" borderId="80" xfId="0" applyNumberFormat="1" applyFont="1" applyFill="1" applyBorder="1" applyAlignment="1" applyProtection="1">
      <alignment horizontal="center"/>
      <protection hidden="1" locked="0"/>
    </xf>
    <xf numFmtId="166" fontId="7" fillId="0" borderId="81" xfId="0" applyNumberFormat="1" applyFont="1" applyFill="1" applyBorder="1" applyAlignment="1" applyProtection="1">
      <alignment horizontal="center"/>
      <protection hidden="1" locked="0"/>
    </xf>
    <xf numFmtId="166" fontId="3" fillId="35" borderId="70" xfId="0" applyNumberFormat="1" applyFont="1" applyFill="1" applyBorder="1" applyAlignment="1" applyProtection="1">
      <alignment vertical="center"/>
      <protection hidden="1"/>
    </xf>
    <xf numFmtId="166" fontId="3" fillId="35" borderId="75" xfId="0" applyNumberFormat="1" applyFont="1" applyFill="1" applyBorder="1" applyAlignment="1" applyProtection="1">
      <alignment vertical="center"/>
      <protection hidden="1"/>
    </xf>
    <xf numFmtId="166" fontId="3" fillId="35" borderId="71" xfId="0" applyNumberFormat="1" applyFont="1" applyFill="1" applyBorder="1" applyAlignment="1" applyProtection="1">
      <alignment vertical="center"/>
      <protection hidden="1"/>
    </xf>
    <xf numFmtId="166" fontId="3" fillId="35" borderId="77" xfId="0" applyNumberFormat="1" applyFont="1" applyFill="1" applyBorder="1" applyAlignment="1" applyProtection="1">
      <alignment vertical="center"/>
      <protection hidden="1"/>
    </xf>
    <xf numFmtId="166" fontId="3" fillId="35" borderId="74" xfId="0" applyNumberFormat="1" applyFont="1" applyFill="1" applyBorder="1" applyAlignment="1" applyProtection="1">
      <alignment vertical="center"/>
      <protection hidden="1"/>
    </xf>
    <xf numFmtId="3" fontId="7" fillId="0" borderId="79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0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2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70" xfId="0" applyFont="1" applyFill="1" applyBorder="1" applyAlignment="1" applyProtection="1">
      <alignment vertical="center"/>
      <protection hidden="1" locked="0"/>
    </xf>
    <xf numFmtId="0" fontId="4" fillId="35" borderId="65" xfId="0" applyFont="1" applyFill="1" applyBorder="1" applyAlignment="1" applyProtection="1">
      <alignment vertical="center"/>
      <protection hidden="1" locked="0"/>
    </xf>
    <xf numFmtId="0" fontId="4" fillId="35" borderId="75" xfId="0" applyFont="1" applyFill="1" applyBorder="1" applyAlignment="1" applyProtection="1">
      <alignment vertical="center"/>
      <protection hidden="1" locked="0"/>
    </xf>
    <xf numFmtId="0" fontId="4" fillId="35" borderId="71" xfId="0" applyFont="1" applyFill="1" applyBorder="1" applyAlignment="1" applyProtection="1">
      <alignment vertical="center"/>
      <protection hidden="1" locked="0"/>
    </xf>
    <xf numFmtId="0" fontId="4" fillId="35" borderId="72" xfId="0" applyFont="1" applyFill="1" applyBorder="1" applyAlignment="1" applyProtection="1">
      <alignment vertical="center"/>
      <protection hidden="1" locked="0"/>
    </xf>
    <xf numFmtId="0" fontId="4" fillId="35" borderId="76" xfId="0" applyFont="1" applyFill="1" applyBorder="1" applyAlignment="1" applyProtection="1">
      <alignment vertical="center"/>
      <protection hidden="1" locked="0"/>
    </xf>
    <xf numFmtId="0" fontId="4" fillId="35" borderId="77" xfId="0" applyFont="1" applyFill="1" applyBorder="1" applyAlignment="1" applyProtection="1">
      <alignment vertical="center"/>
      <protection hidden="1" locked="0"/>
    </xf>
    <xf numFmtId="0" fontId="4" fillId="35" borderId="74" xfId="0" applyFont="1" applyFill="1" applyBorder="1" applyAlignment="1" applyProtection="1">
      <alignment vertical="center"/>
      <protection hidden="1" locked="0"/>
    </xf>
    <xf numFmtId="166" fontId="3" fillId="35" borderId="64" xfId="0" applyNumberFormat="1" applyFont="1" applyFill="1" applyBorder="1" applyAlignment="1" applyProtection="1">
      <alignment vertical="center"/>
      <protection hidden="1"/>
    </xf>
    <xf numFmtId="166" fontId="3" fillId="35" borderId="63" xfId="0" applyNumberFormat="1" applyFont="1" applyFill="1" applyBorder="1" applyAlignment="1" applyProtection="1">
      <alignment vertical="center"/>
      <protection hidden="1"/>
    </xf>
    <xf numFmtId="49" fontId="7" fillId="35" borderId="62" xfId="0" applyNumberFormat="1" applyFont="1" applyFill="1" applyBorder="1" applyAlignment="1" applyProtection="1">
      <alignment horizontal="center" wrapText="1"/>
      <protection hidden="1"/>
    </xf>
    <xf numFmtId="49" fontId="7" fillId="35" borderId="83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6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81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6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5" xfId="0" applyNumberFormat="1" applyFont="1" applyFill="1" applyBorder="1" applyAlignment="1" applyProtection="1">
      <alignment horizontal="center" vertical="top" wrapText="1"/>
      <protection hidden="1" locked="0"/>
    </xf>
    <xf numFmtId="0" fontId="18" fillId="33" borderId="6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66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0" xfId="0" applyFont="1" applyFill="1" applyBorder="1" applyAlignment="1" applyProtection="1">
      <alignment horizontal="center" vertical="center" textRotation="90" wrapText="1"/>
      <protection locked="0"/>
    </xf>
    <xf numFmtId="0" fontId="19" fillId="0" borderId="86" xfId="0" applyFont="1" applyFill="1" applyBorder="1" applyAlignment="1" applyProtection="1">
      <alignment horizontal="center" vertical="center" textRotation="90" wrapText="1"/>
      <protection locked="0"/>
    </xf>
    <xf numFmtId="0" fontId="19" fillId="0" borderId="61" xfId="0" applyFont="1" applyFill="1" applyBorder="1" applyAlignment="1" applyProtection="1">
      <alignment horizontal="center" vertical="center" textRotation="90" wrapText="1"/>
      <protection locked="0"/>
    </xf>
    <xf numFmtId="165" fontId="26" fillId="0" borderId="10" xfId="0" applyNumberFormat="1" applyFont="1" applyFill="1" applyBorder="1" applyAlignment="1" applyProtection="1">
      <alignment horizontal="left"/>
      <protection locked="0"/>
    </xf>
    <xf numFmtId="44" fontId="26" fillId="0" borderId="87" xfId="39" applyFont="1" applyBorder="1" applyAlignment="1" applyProtection="1">
      <alignment horizontal="center" vertical="center" wrapText="1"/>
      <protection locked="0"/>
    </xf>
    <xf numFmtId="44" fontId="26" fillId="0" borderId="88" xfId="39" applyFont="1" applyBorder="1" applyAlignment="1" applyProtection="1">
      <alignment horizontal="center" vertical="center" wrapText="1"/>
      <protection locked="0"/>
    </xf>
    <xf numFmtId="44" fontId="26" fillId="0" borderId="89" xfId="39" applyFont="1" applyBorder="1" applyAlignment="1" applyProtection="1">
      <alignment horizontal="center" vertical="center" wrapText="1"/>
      <protection locked="0"/>
    </xf>
    <xf numFmtId="44" fontId="26" fillId="0" borderId="53" xfId="39" applyFont="1" applyBorder="1" applyAlignment="1" applyProtection="1">
      <alignment horizontal="center" vertical="center" wrapText="1"/>
      <protection locked="0"/>
    </xf>
    <xf numFmtId="44" fontId="26" fillId="0" borderId="0" xfId="39" applyFont="1" applyBorder="1" applyAlignment="1" applyProtection="1">
      <alignment horizontal="center" vertical="center" wrapText="1"/>
      <protection locked="0"/>
    </xf>
    <xf numFmtId="44" fontId="26" fillId="0" borderId="90" xfId="39" applyFont="1" applyBorder="1" applyAlignment="1" applyProtection="1">
      <alignment horizontal="center" vertical="center" wrapText="1"/>
      <protection locked="0"/>
    </xf>
    <xf numFmtId="44" fontId="26" fillId="0" borderId="91" xfId="39" applyFont="1" applyBorder="1" applyAlignment="1" applyProtection="1">
      <alignment horizontal="center" vertical="center" wrapText="1"/>
      <protection locked="0"/>
    </xf>
    <xf numFmtId="44" fontId="26" fillId="0" borderId="92" xfId="39" applyFont="1" applyBorder="1" applyAlignment="1" applyProtection="1">
      <alignment horizontal="center" vertical="center" wrapText="1"/>
      <protection locked="0"/>
    </xf>
    <xf numFmtId="44" fontId="26" fillId="0" borderId="93" xfId="39" applyFont="1" applyBorder="1" applyAlignment="1" applyProtection="1">
      <alignment horizontal="center" vertical="center" wrapText="1"/>
      <protection locked="0"/>
    </xf>
    <xf numFmtId="0" fontId="26" fillId="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6" fillId="4" borderId="10" xfId="0" applyFont="1" applyFill="1" applyBorder="1" applyAlignment="1">
      <alignment horizontal="center" vertical="center" wrapText="1"/>
    </xf>
    <xf numFmtId="0" fontId="26" fillId="0" borderId="32" xfId="0" applyFont="1" applyBorder="1" applyAlignment="1" applyProtection="1">
      <alignment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26" fillId="0" borderId="94" xfId="0" applyFont="1" applyBorder="1" applyAlignment="1" applyProtection="1">
      <alignment vertical="center" wrapText="1"/>
      <protection locked="0"/>
    </xf>
    <xf numFmtId="0" fontId="26" fillId="32" borderId="33" xfId="0" applyFont="1" applyFill="1" applyBorder="1" applyAlignment="1">
      <alignment horizontal="center"/>
    </xf>
    <xf numFmtId="0" fontId="26" fillId="32" borderId="48" xfId="0" applyFont="1" applyFill="1" applyBorder="1" applyAlignment="1">
      <alignment horizontal="center"/>
    </xf>
    <xf numFmtId="0" fontId="26" fillId="32" borderId="59" xfId="0" applyFont="1" applyFill="1" applyBorder="1" applyAlignment="1">
      <alignment horizontal="center"/>
    </xf>
    <xf numFmtId="0" fontId="26" fillId="32" borderId="31" xfId="0" applyFont="1" applyFill="1" applyBorder="1" applyAlignment="1">
      <alignment horizontal="center"/>
    </xf>
    <xf numFmtId="0" fontId="22" fillId="0" borderId="90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3" xfId="0" applyFont="1" applyBorder="1" applyAlignment="1">
      <alignment/>
    </xf>
    <xf numFmtId="0" fontId="25" fillId="32" borderId="31" xfId="0" applyFont="1" applyFill="1" applyBorder="1" applyAlignment="1">
      <alignment horizontal="center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94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26" fillId="0" borderId="94" xfId="0" applyFont="1" applyBorder="1" applyAlignment="1" applyProtection="1">
      <alignment vertical="center"/>
      <protection locked="0"/>
    </xf>
    <xf numFmtId="0" fontId="26" fillId="37" borderId="33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/>
    </xf>
    <xf numFmtId="0" fontId="26" fillId="37" borderId="59" xfId="0" applyFon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67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3" fontId="25" fillId="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7" borderId="32" xfId="0" applyFont="1" applyFill="1" applyBorder="1" applyAlignment="1" applyProtection="1">
      <alignment vertical="center" wrapText="1"/>
      <protection locked="0"/>
    </xf>
    <xf numFmtId="0" fontId="26" fillId="37" borderId="54" xfId="0" applyFont="1" applyFill="1" applyBorder="1" applyAlignment="1" applyProtection="1">
      <alignment vertical="center" wrapText="1"/>
      <protection locked="0"/>
    </xf>
    <xf numFmtId="0" fontId="26" fillId="37" borderId="94" xfId="0" applyFont="1" applyFill="1" applyBorder="1" applyAlignment="1" applyProtection="1">
      <alignment vertical="center" wrapText="1"/>
      <protection locked="0"/>
    </xf>
    <xf numFmtId="44" fontId="26" fillId="0" borderId="32" xfId="39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67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26" fillId="4" borderId="10" xfId="0" applyFont="1" applyFill="1" applyBorder="1" applyAlignment="1">
      <alignment horizontal="center" wrapText="1"/>
    </xf>
    <xf numFmtId="172" fontId="26" fillId="4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67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25" fillId="4" borderId="33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22" fillId="0" borderId="3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94" xfId="0" applyFont="1" applyBorder="1" applyAlignment="1">
      <alignment vertical="center" wrapText="1"/>
    </xf>
    <xf numFmtId="0" fontId="22" fillId="0" borderId="47" xfId="0" applyFont="1" applyBorder="1" applyAlignment="1">
      <alignment/>
    </xf>
    <xf numFmtId="0" fontId="0" fillId="0" borderId="95" xfId="0" applyBorder="1" applyAlignment="1">
      <alignment/>
    </xf>
    <xf numFmtId="0" fontId="22" fillId="0" borderId="48" xfId="0" applyFont="1" applyBorder="1" applyAlignment="1">
      <alignment/>
    </xf>
    <xf numFmtId="0" fontId="0" fillId="0" borderId="48" xfId="0" applyBorder="1" applyAlignment="1">
      <alignment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67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4" fontId="22" fillId="0" borderId="87" xfId="39" applyFont="1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22" fillId="0" borderId="87" xfId="0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22" fillId="0" borderId="49" xfId="0" applyFont="1" applyBorder="1" applyAlignment="1">
      <alignment/>
    </xf>
    <xf numFmtId="0" fontId="0" fillId="0" borderId="96" xfId="0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0" borderId="97" xfId="0" applyFont="1" applyBorder="1" applyAlignment="1">
      <alignment/>
    </xf>
    <xf numFmtId="0" fontId="0" fillId="0" borderId="98" xfId="0" applyBorder="1" applyAlignment="1">
      <alignment/>
    </xf>
    <xf numFmtId="0" fontId="22" fillId="0" borderId="99" xfId="0" applyFont="1" applyBorder="1" applyAlignment="1">
      <alignment/>
    </xf>
    <xf numFmtId="0" fontId="0" fillId="0" borderId="99" xfId="0" applyBorder="1" applyAlignment="1">
      <alignment/>
    </xf>
    <xf numFmtId="175" fontId="22" fillId="0" borderId="44" xfId="0" applyNumberFormat="1" applyFont="1" applyBorder="1" applyAlignment="1">
      <alignment horizontal="center"/>
    </xf>
    <xf numFmtId="175" fontId="22" fillId="0" borderId="45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2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80" t="s">
        <v>77</v>
      </c>
      <c r="B5" s="381"/>
      <c r="C5" s="381"/>
      <c r="D5" s="382"/>
      <c r="E5" s="56"/>
      <c r="F5" s="380" t="s">
        <v>30</v>
      </c>
      <c r="G5" s="381"/>
      <c r="H5" s="382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153" t="s">
        <v>40</v>
      </c>
    </row>
    <row r="6" spans="1:26" ht="14.25">
      <c r="A6" s="380" t="s">
        <v>28</v>
      </c>
      <c r="B6" s="381"/>
      <c r="C6" s="381"/>
      <c r="D6" s="382"/>
      <c r="E6" s="56"/>
      <c r="F6" s="383" t="s">
        <v>31</v>
      </c>
      <c r="G6" s="383"/>
      <c r="H6" s="383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22"/>
    </row>
    <row r="7" spans="1:26" ht="14.25">
      <c r="A7" s="380" t="s">
        <v>29</v>
      </c>
      <c r="B7" s="381"/>
      <c r="C7" s="381"/>
      <c r="D7" s="382"/>
      <c r="E7" s="56"/>
      <c r="F7" s="383" t="s">
        <v>32</v>
      </c>
      <c r="G7" s="383"/>
      <c r="H7" s="383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375" t="s">
        <v>53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7"/>
      <c r="M10" s="387" t="s">
        <v>83</v>
      </c>
      <c r="N10" s="388"/>
      <c r="O10" s="389"/>
      <c r="P10" s="67"/>
      <c r="Q10" s="67"/>
      <c r="R10" s="67"/>
      <c r="S10" s="67"/>
      <c r="T10" s="358" t="s">
        <v>54</v>
      </c>
      <c r="U10" s="359"/>
      <c r="V10" s="359"/>
      <c r="W10" s="359"/>
      <c r="X10" s="359"/>
      <c r="Y10" s="360"/>
      <c r="Z10" s="5"/>
    </row>
    <row r="11" spans="1:26" ht="12.75" customHeight="1">
      <c r="A11" s="347"/>
      <c r="B11" s="345" t="s">
        <v>15</v>
      </c>
      <c r="C11" s="364" t="s">
        <v>1</v>
      </c>
      <c r="D11" s="365" t="s">
        <v>0</v>
      </c>
      <c r="E11" s="366"/>
      <c r="F11" s="363" t="s">
        <v>19</v>
      </c>
      <c r="G11" s="363" t="s">
        <v>18</v>
      </c>
      <c r="H11" s="378" t="s">
        <v>39</v>
      </c>
      <c r="I11" s="371" t="s">
        <v>20</v>
      </c>
      <c r="J11" s="471" t="s">
        <v>74</v>
      </c>
      <c r="K11" s="373" t="s">
        <v>21</v>
      </c>
      <c r="L11" s="371" t="s">
        <v>9</v>
      </c>
      <c r="M11" s="368" t="s">
        <v>2</v>
      </c>
      <c r="N11" s="369"/>
      <c r="O11" s="370"/>
      <c r="P11" s="68"/>
      <c r="Q11" s="68"/>
      <c r="R11" s="68"/>
      <c r="S11" s="68"/>
      <c r="T11" s="355" t="s">
        <v>13</v>
      </c>
      <c r="U11" s="356"/>
      <c r="V11" s="356"/>
      <c r="W11" s="356"/>
      <c r="X11" s="356"/>
      <c r="Y11" s="357"/>
      <c r="Z11" s="5"/>
    </row>
    <row r="12" spans="1:26" ht="51.75" customHeight="1" thickBot="1">
      <c r="A12" s="348"/>
      <c r="B12" s="346"/>
      <c r="C12" s="367"/>
      <c r="D12" s="70"/>
      <c r="E12" s="69" t="s">
        <v>17</v>
      </c>
      <c r="F12" s="364"/>
      <c r="G12" s="364"/>
      <c r="H12" s="379"/>
      <c r="I12" s="372"/>
      <c r="J12" s="472"/>
      <c r="K12" s="374"/>
      <c r="L12" s="372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49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50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50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50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50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50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50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51"/>
      <c r="B20" s="343" t="s">
        <v>65</v>
      </c>
      <c r="C20" s="344"/>
      <c r="D20" s="344"/>
      <c r="E20" s="344"/>
      <c r="F20" s="344"/>
      <c r="G20" s="344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52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53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53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53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53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53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53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54"/>
      <c r="B28" s="343" t="s">
        <v>66</v>
      </c>
      <c r="C28" s="344"/>
      <c r="D28" s="344"/>
      <c r="E28" s="344"/>
      <c r="F28" s="344"/>
      <c r="G28" s="344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52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53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53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53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53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53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53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54"/>
      <c r="B36" s="419" t="s">
        <v>67</v>
      </c>
      <c r="C36" s="420"/>
      <c r="D36" s="420"/>
      <c r="E36" s="420"/>
      <c r="F36" s="420"/>
      <c r="G36" s="420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40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61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61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61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61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61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61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62"/>
      <c r="B44" s="419" t="s">
        <v>68</v>
      </c>
      <c r="C44" s="420"/>
      <c r="D44" s="420"/>
      <c r="E44" s="420"/>
      <c r="F44" s="420"/>
      <c r="G44" s="420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40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41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41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41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41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41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41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42"/>
      <c r="B52" s="343" t="s">
        <v>69</v>
      </c>
      <c r="C52" s="344"/>
      <c r="D52" s="344"/>
      <c r="E52" s="344"/>
      <c r="F52" s="344"/>
      <c r="G52" s="344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40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41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41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41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41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41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41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42"/>
      <c r="B60" s="419" t="s">
        <v>70</v>
      </c>
      <c r="C60" s="420"/>
      <c r="D60" s="420"/>
      <c r="E60" s="420"/>
      <c r="F60" s="420"/>
      <c r="G60" s="420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40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41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41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41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41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41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41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42"/>
      <c r="B68" s="343" t="s">
        <v>71</v>
      </c>
      <c r="C68" s="344"/>
      <c r="D68" s="344"/>
      <c r="E68" s="344"/>
      <c r="F68" s="344"/>
      <c r="G68" s="344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40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41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41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41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41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41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41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42"/>
      <c r="B76" s="419" t="s">
        <v>72</v>
      </c>
      <c r="C76" s="420"/>
      <c r="D76" s="420"/>
      <c r="E76" s="420"/>
      <c r="F76" s="420"/>
      <c r="G76" s="420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73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74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74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74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74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74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75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476"/>
      <c r="B84" s="468" t="s">
        <v>73</v>
      </c>
      <c r="C84" s="469"/>
      <c r="D84" s="469"/>
      <c r="E84" s="469"/>
      <c r="F84" s="469"/>
      <c r="G84" s="469"/>
      <c r="H84" s="470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390"/>
      <c r="B85" s="391"/>
      <c r="C85" s="391"/>
      <c r="D85" s="391"/>
      <c r="E85" s="391"/>
      <c r="F85" s="391"/>
      <c r="G85" s="391"/>
      <c r="H85" s="392"/>
      <c r="I85" s="146" t="s">
        <v>35</v>
      </c>
      <c r="J85" s="146"/>
      <c r="K85" s="146" t="s">
        <v>36</v>
      </c>
      <c r="L85" s="166" t="s">
        <v>37</v>
      </c>
      <c r="M85" s="402" t="s">
        <v>34</v>
      </c>
      <c r="N85" s="402"/>
      <c r="O85" s="403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19" t="s">
        <v>75</v>
      </c>
      <c r="C86" s="420"/>
      <c r="D86" s="420"/>
      <c r="E86" s="420"/>
      <c r="F86" s="420"/>
      <c r="G86" s="420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11" t="s">
        <v>81</v>
      </c>
      <c r="J88" s="412"/>
      <c r="K88" s="413"/>
      <c r="L88" s="413"/>
      <c r="M88" s="413"/>
      <c r="N88" s="414"/>
      <c r="O88" s="405">
        <f>L86+O86</f>
        <v>0</v>
      </c>
      <c r="P88" s="406"/>
      <c r="Q88" s="406"/>
      <c r="R88" s="406"/>
      <c r="S88" s="406"/>
      <c r="T88" s="407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15" t="s">
        <v>82</v>
      </c>
      <c r="J89" s="416"/>
      <c r="K89" s="417"/>
      <c r="L89" s="417"/>
      <c r="M89" s="417"/>
      <c r="N89" s="418"/>
      <c r="O89" s="408">
        <f>I86+M86</f>
        <v>0</v>
      </c>
      <c r="P89" s="409"/>
      <c r="Q89" s="409"/>
      <c r="R89" s="409"/>
      <c r="S89" s="409"/>
      <c r="T89" s="410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31" t="s">
        <v>42</v>
      </c>
      <c r="P91" s="432"/>
      <c r="Q91" s="432"/>
      <c r="R91" s="432"/>
      <c r="S91" s="432"/>
      <c r="T91" s="433"/>
      <c r="U91" s="439" t="s">
        <v>43</v>
      </c>
      <c r="V91" s="440"/>
      <c r="W91" s="441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42" t="s">
        <v>79</v>
      </c>
      <c r="J92" s="443"/>
      <c r="K92" s="444"/>
      <c r="L92" s="444"/>
      <c r="M92" s="444"/>
      <c r="N92" s="445"/>
      <c r="O92" s="434">
        <f>P86</f>
        <v>0</v>
      </c>
      <c r="P92" s="450"/>
      <c r="Q92" s="450"/>
      <c r="R92" s="450"/>
      <c r="S92" s="450"/>
      <c r="T92" s="451"/>
      <c r="U92" s="434">
        <f>R86</f>
        <v>0</v>
      </c>
      <c r="V92" s="435"/>
      <c r="W92" s="436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46" t="s">
        <v>80</v>
      </c>
      <c r="J93" s="447"/>
      <c r="K93" s="448"/>
      <c r="L93" s="448"/>
      <c r="M93" s="448"/>
      <c r="N93" s="449"/>
      <c r="O93" s="428">
        <f>Q86</f>
        <v>0</v>
      </c>
      <c r="P93" s="429"/>
      <c r="Q93" s="429"/>
      <c r="R93" s="429"/>
      <c r="S93" s="429"/>
      <c r="T93" s="430"/>
      <c r="U93" s="428">
        <f>S86</f>
        <v>0</v>
      </c>
      <c r="V93" s="437"/>
      <c r="W93" s="438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21" t="s">
        <v>55</v>
      </c>
      <c r="B95" s="421"/>
      <c r="C95" s="421"/>
      <c r="D95" s="421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384" t="s">
        <v>26</v>
      </c>
      <c r="B96" s="384"/>
      <c r="C96" s="384"/>
      <c r="D96" s="384"/>
      <c r="E96" s="384" t="s">
        <v>22</v>
      </c>
      <c r="F96" s="384"/>
      <c r="G96" s="384"/>
      <c r="H96" s="27" t="s">
        <v>23</v>
      </c>
      <c r="I96" s="384" t="s">
        <v>24</v>
      </c>
      <c r="J96" s="384"/>
      <c r="K96" s="384"/>
      <c r="L96" s="384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22"/>
      <c r="B97" s="423"/>
      <c r="C97" s="423"/>
      <c r="D97" s="424"/>
      <c r="E97" s="422"/>
      <c r="F97" s="423"/>
      <c r="G97" s="424"/>
      <c r="H97" s="393"/>
      <c r="I97" s="422"/>
      <c r="J97" s="423"/>
      <c r="K97" s="423"/>
      <c r="L97" s="424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25"/>
      <c r="B98" s="426"/>
      <c r="C98" s="426"/>
      <c r="D98" s="427"/>
      <c r="E98" s="425"/>
      <c r="F98" s="426"/>
      <c r="G98" s="427"/>
      <c r="H98" s="394"/>
      <c r="I98" s="425"/>
      <c r="J98" s="426"/>
      <c r="K98" s="426"/>
      <c r="L98" s="427"/>
      <c r="M98" s="13"/>
      <c r="T98" s="13"/>
      <c r="U98" s="452" t="s">
        <v>49</v>
      </c>
      <c r="V98" s="453"/>
      <c r="W98" s="460" t="s">
        <v>50</v>
      </c>
      <c r="X98" s="461"/>
      <c r="Y98" s="162"/>
      <c r="Z98" s="158" t="s">
        <v>4</v>
      </c>
    </row>
    <row r="99" spans="12:26" ht="12.75">
      <c r="L99" s="7"/>
      <c r="M99" s="10"/>
      <c r="T99" s="155" t="s">
        <v>51</v>
      </c>
      <c r="U99" s="454"/>
      <c r="V99" s="455"/>
      <c r="W99" s="462"/>
      <c r="X99" s="463"/>
      <c r="Y99" s="163"/>
      <c r="Z99" s="159"/>
    </row>
    <row r="100" spans="1:26" ht="12.75">
      <c r="A100" s="396" t="s">
        <v>78</v>
      </c>
      <c r="B100" s="396"/>
      <c r="C100" s="396"/>
      <c r="D100" s="396"/>
      <c r="E100" s="396"/>
      <c r="F100" s="396"/>
      <c r="G100" s="396"/>
      <c r="H100" s="19"/>
      <c r="I100" s="18"/>
      <c r="J100" s="18"/>
      <c r="K100" s="20"/>
      <c r="L100" s="20"/>
      <c r="M100" s="21"/>
      <c r="T100" s="156" t="s">
        <v>48</v>
      </c>
      <c r="U100" s="456"/>
      <c r="V100" s="457"/>
      <c r="W100" s="464"/>
      <c r="X100" s="465"/>
      <c r="Y100" s="163"/>
      <c r="Z100" s="160"/>
    </row>
    <row r="101" spans="1:26" ht="13.5" thickBot="1">
      <c r="A101" s="384" t="s">
        <v>25</v>
      </c>
      <c r="B101" s="384"/>
      <c r="C101" s="384"/>
      <c r="D101" s="384"/>
      <c r="E101" s="384"/>
      <c r="F101" s="384"/>
      <c r="G101" s="384"/>
      <c r="H101" s="41" t="s">
        <v>23</v>
      </c>
      <c r="I101" s="397" t="s">
        <v>24</v>
      </c>
      <c r="J101" s="397"/>
      <c r="K101" s="397"/>
      <c r="L101" s="397"/>
      <c r="M101" s="21"/>
      <c r="T101" s="157" t="s">
        <v>52</v>
      </c>
      <c r="U101" s="458"/>
      <c r="V101" s="459"/>
      <c r="W101" s="466"/>
      <c r="X101" s="467"/>
      <c r="Y101" s="163"/>
      <c r="Z101" s="161"/>
    </row>
    <row r="102" spans="1:26" ht="12.75">
      <c r="A102" s="385"/>
      <c r="B102" s="385"/>
      <c r="C102" s="385"/>
      <c r="D102" s="385"/>
      <c r="E102" s="385"/>
      <c r="F102" s="385"/>
      <c r="G102" s="385"/>
      <c r="H102" s="393"/>
      <c r="I102" s="397"/>
      <c r="J102" s="397"/>
      <c r="K102" s="397"/>
      <c r="L102" s="397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385"/>
      <c r="B103" s="385"/>
      <c r="C103" s="385"/>
      <c r="D103" s="385"/>
      <c r="E103" s="385"/>
      <c r="F103" s="385"/>
      <c r="G103" s="385"/>
      <c r="H103" s="394"/>
      <c r="I103" s="397"/>
      <c r="J103" s="397"/>
      <c r="K103" s="397"/>
      <c r="L103" s="397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398" t="s">
        <v>27</v>
      </c>
      <c r="B104" s="399"/>
      <c r="C104" s="399"/>
      <c r="D104" s="399"/>
      <c r="E104" s="399"/>
      <c r="F104" s="399"/>
      <c r="G104" s="400"/>
      <c r="H104" s="42" t="s">
        <v>23</v>
      </c>
      <c r="I104" s="401" t="s">
        <v>24</v>
      </c>
      <c r="J104" s="401"/>
      <c r="K104" s="401"/>
      <c r="L104" s="401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385"/>
      <c r="B105" s="385"/>
      <c r="C105" s="385"/>
      <c r="D105" s="385"/>
      <c r="E105" s="385"/>
      <c r="F105" s="385"/>
      <c r="G105" s="385"/>
      <c r="H105" s="393"/>
      <c r="I105" s="395"/>
      <c r="J105" s="395"/>
      <c r="K105" s="395"/>
      <c r="L105" s="395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385"/>
      <c r="B106" s="385"/>
      <c r="C106" s="385"/>
      <c r="D106" s="385"/>
      <c r="E106" s="385"/>
      <c r="F106" s="385"/>
      <c r="G106" s="385"/>
      <c r="H106" s="394"/>
      <c r="I106" s="395"/>
      <c r="J106" s="395"/>
      <c r="K106" s="395"/>
      <c r="L106" s="395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O93:T93"/>
    <mergeCell ref="O91:T91"/>
    <mergeCell ref="U92:W92"/>
    <mergeCell ref="U93:W93"/>
    <mergeCell ref="U91:W91"/>
    <mergeCell ref="I96:L96"/>
    <mergeCell ref="I92:N92"/>
    <mergeCell ref="I93:N93"/>
    <mergeCell ref="O92:T92"/>
    <mergeCell ref="B86:G86"/>
    <mergeCell ref="A95:D95"/>
    <mergeCell ref="A96:D96"/>
    <mergeCell ref="E96:G96"/>
    <mergeCell ref="H97:H98"/>
    <mergeCell ref="I97:L98"/>
    <mergeCell ref="A97:D98"/>
    <mergeCell ref="E97:G98"/>
    <mergeCell ref="M85:O85"/>
    <mergeCell ref="K87:T87"/>
    <mergeCell ref="O88:T88"/>
    <mergeCell ref="O89:T89"/>
    <mergeCell ref="I88:N88"/>
    <mergeCell ref="I89:N89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A45:A52"/>
    <mergeCell ref="A53:A60"/>
    <mergeCell ref="B28:G28"/>
    <mergeCell ref="B11:B12"/>
    <mergeCell ref="A11:A12"/>
    <mergeCell ref="A13:A20"/>
    <mergeCell ref="A29:A36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3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tabSelected="1" view="pageLayout" workbookViewId="0" topLeftCell="A1">
      <selection activeCell="S13" sqref="S13"/>
    </sheetView>
  </sheetViews>
  <sheetFormatPr defaultColWidth="9.140625" defaultRowHeight="12.75"/>
  <cols>
    <col min="1" max="1" width="4.7109375" style="179" customWidth="1"/>
    <col min="2" max="2" width="9.421875" style="179" customWidth="1"/>
    <col min="3" max="3" width="17.8515625" style="179" customWidth="1"/>
    <col min="4" max="4" width="17.7109375" style="179" customWidth="1"/>
    <col min="5" max="6" width="14.57421875" style="179" customWidth="1"/>
    <col min="7" max="7" width="9.00390625" style="274" customWidth="1"/>
    <col min="8" max="8" width="6.421875" style="179" customWidth="1"/>
    <col min="9" max="9" width="6.140625" style="179" customWidth="1"/>
    <col min="10" max="10" width="11.8515625" style="181" customWidth="1"/>
    <col min="11" max="11" width="14.57421875" style="179" customWidth="1"/>
    <col min="12" max="13" width="11.7109375" style="179" customWidth="1"/>
    <col min="14" max="15" width="8.57421875" style="179" customWidth="1"/>
    <col min="16" max="16" width="19.421875" style="179" customWidth="1"/>
    <col min="17" max="19" width="12.7109375" style="179" customWidth="1"/>
    <col min="20" max="20" width="12.421875" style="179" customWidth="1"/>
    <col min="21" max="22" width="11.7109375" style="179" customWidth="1"/>
    <col min="23" max="26" width="9.140625" style="179" customWidth="1"/>
    <col min="27" max="27" width="10.140625" style="179" customWidth="1"/>
    <col min="28" max="28" width="9.140625" style="179" customWidth="1"/>
    <col min="29" max="29" width="10.140625" style="179" customWidth="1"/>
    <col min="30" max="16384" width="9.140625" style="179" customWidth="1"/>
  </cols>
  <sheetData>
    <row r="1" spans="1:22" ht="14.25">
      <c r="A1" s="511" t="s">
        <v>77</v>
      </c>
      <c r="B1" s="512"/>
      <c r="C1" s="512"/>
      <c r="D1" s="530"/>
      <c r="E1" s="531"/>
      <c r="F1" s="531"/>
      <c r="G1" s="531"/>
      <c r="H1" s="531"/>
      <c r="I1" s="532"/>
      <c r="J1" s="511" t="s">
        <v>30</v>
      </c>
      <c r="K1" s="512"/>
      <c r="L1" s="513"/>
      <c r="M1" s="520"/>
      <c r="N1" s="521"/>
      <c r="O1" s="521"/>
      <c r="P1" s="521"/>
      <c r="Q1" s="521"/>
      <c r="R1" s="521"/>
      <c r="S1" s="521"/>
      <c r="T1" s="522"/>
      <c r="U1" s="282"/>
      <c r="V1" s="282"/>
    </row>
    <row r="2" spans="1:22" ht="12.75">
      <c r="A2" s="511" t="s">
        <v>28</v>
      </c>
      <c r="B2" s="512"/>
      <c r="C2" s="512"/>
      <c r="D2" s="530"/>
      <c r="E2" s="531"/>
      <c r="F2" s="531"/>
      <c r="G2" s="531"/>
      <c r="H2" s="531"/>
      <c r="I2" s="532"/>
      <c r="J2" s="511" t="s">
        <v>31</v>
      </c>
      <c r="K2" s="512"/>
      <c r="L2" s="513"/>
      <c r="M2" s="510"/>
      <c r="N2" s="510"/>
      <c r="O2" s="510"/>
      <c r="P2" s="510"/>
      <c r="Q2" s="510"/>
      <c r="R2" s="510"/>
      <c r="S2" s="510"/>
      <c r="T2" s="510"/>
      <c r="U2" s="282"/>
      <c r="V2" s="282"/>
    </row>
    <row r="3" spans="1:22" ht="14.25">
      <c r="A3" s="511" t="s">
        <v>29</v>
      </c>
      <c r="B3" s="512"/>
      <c r="C3" s="512"/>
      <c r="D3" s="530"/>
      <c r="E3" s="531"/>
      <c r="F3" s="531"/>
      <c r="G3" s="531"/>
      <c r="H3" s="531"/>
      <c r="I3" s="532"/>
      <c r="J3" s="511" t="s">
        <v>32</v>
      </c>
      <c r="K3" s="512"/>
      <c r="L3" s="513"/>
      <c r="M3" s="520"/>
      <c r="N3" s="521"/>
      <c r="O3" s="521"/>
      <c r="P3" s="521"/>
      <c r="Q3" s="521"/>
      <c r="R3" s="521"/>
      <c r="S3" s="521"/>
      <c r="T3" s="522"/>
      <c r="U3" s="282"/>
      <c r="V3" s="282"/>
    </row>
    <row r="4" ht="9.75"/>
    <row r="5" spans="2:8" ht="12" customHeight="1">
      <c r="B5" s="526" t="s">
        <v>256</v>
      </c>
      <c r="C5" s="527"/>
      <c r="D5" s="289" t="s">
        <v>4</v>
      </c>
      <c r="E5" s="289" t="s">
        <v>3</v>
      </c>
      <c r="F5" s="321"/>
      <c r="G5" s="533"/>
      <c r="H5" s="533"/>
    </row>
    <row r="6" spans="2:8" ht="12" customHeight="1">
      <c r="B6" s="528"/>
      <c r="C6" s="529"/>
      <c r="D6" s="290">
        <v>85</v>
      </c>
      <c r="E6" s="290">
        <v>15</v>
      </c>
      <c r="F6" s="322"/>
      <c r="G6" s="534"/>
      <c r="H6" s="534"/>
    </row>
    <row r="7" ht="12" customHeight="1"/>
    <row r="8" ht="9.75"/>
    <row r="9" spans="1:25" ht="13.5" customHeight="1">
      <c r="A9" s="523" t="s">
        <v>241</v>
      </c>
      <c r="B9" s="523" t="s">
        <v>255</v>
      </c>
      <c r="C9" s="300" t="s">
        <v>206</v>
      </c>
      <c r="D9" s="300"/>
      <c r="E9" s="301"/>
      <c r="F9" s="301"/>
      <c r="G9" s="524" t="s">
        <v>84</v>
      </c>
      <c r="H9" s="302" t="s">
        <v>85</v>
      </c>
      <c r="I9" s="302" t="s">
        <v>85</v>
      </c>
      <c r="J9" s="489" t="s">
        <v>86</v>
      </c>
      <c r="K9" s="514" t="s">
        <v>87</v>
      </c>
      <c r="L9" s="514" t="s">
        <v>88</v>
      </c>
      <c r="M9" s="514" t="s">
        <v>89</v>
      </c>
      <c r="N9" s="514" t="s">
        <v>18</v>
      </c>
      <c r="O9" s="514" t="s">
        <v>237</v>
      </c>
      <c r="P9" s="487" t="s">
        <v>242</v>
      </c>
      <c r="Q9" s="489" t="s">
        <v>263</v>
      </c>
      <c r="R9" s="489"/>
      <c r="V9" s="179" t="s">
        <v>243</v>
      </c>
      <c r="W9" s="179" t="s">
        <v>244</v>
      </c>
      <c r="X9" s="179" t="s">
        <v>245</v>
      </c>
      <c r="Y9" s="179" t="s">
        <v>246</v>
      </c>
    </row>
    <row r="10" spans="1:18" ht="25.5" customHeight="1">
      <c r="A10" s="523"/>
      <c r="B10" s="523"/>
      <c r="C10" s="302" t="s">
        <v>90</v>
      </c>
      <c r="D10" s="302" t="s">
        <v>91</v>
      </c>
      <c r="E10" s="302" t="s">
        <v>92</v>
      </c>
      <c r="F10" s="302" t="s">
        <v>261</v>
      </c>
      <c r="G10" s="525"/>
      <c r="H10" s="303" t="s">
        <v>93</v>
      </c>
      <c r="I10" s="303" t="s">
        <v>94</v>
      </c>
      <c r="J10" s="515"/>
      <c r="K10" s="515"/>
      <c r="L10" s="515"/>
      <c r="M10" s="515"/>
      <c r="N10" s="515"/>
      <c r="O10" s="515"/>
      <c r="P10" s="488"/>
      <c r="Q10" s="489"/>
      <c r="R10" s="489"/>
    </row>
    <row r="11" spans="1:25" ht="12">
      <c r="A11" s="304"/>
      <c r="B11" s="304"/>
      <c r="C11" s="304"/>
      <c r="D11" s="304"/>
      <c r="E11" s="305"/>
      <c r="F11" s="305"/>
      <c r="G11" s="306"/>
      <c r="H11" s="304">
        <v>5010</v>
      </c>
      <c r="I11" s="304"/>
      <c r="J11" s="307" t="s">
        <v>262</v>
      </c>
      <c r="K11" s="308"/>
      <c r="L11" s="308"/>
      <c r="M11" s="308">
        <v>15000</v>
      </c>
      <c r="N11" s="308"/>
      <c r="O11" s="309" t="s">
        <v>262</v>
      </c>
      <c r="P11" s="310">
        <v>-5000</v>
      </c>
      <c r="Q11" s="477"/>
      <c r="R11" s="477"/>
      <c r="V11" s="284">
        <f>FLOOR(IF($O11="Ano",IF($I11&lt;&gt;"",$M11+P11,0),0),1)</f>
        <v>0</v>
      </c>
      <c r="W11" s="284">
        <f>FLOOR(IF($O11="Ne",IF($I11&lt;&gt;"",$M11+P11,0),0),1)</f>
        <v>0</v>
      </c>
      <c r="X11" s="284">
        <f>FLOOR(IF($O11="Ano",IF($H11&lt;&gt;"",$M11+P11,0),0),1)</f>
        <v>10000</v>
      </c>
      <c r="Y11" s="284">
        <f>FLOOR(IF($O11="Ne",IF($H11&lt;&gt;"",$M11+P11,0),0),1)</f>
        <v>0</v>
      </c>
    </row>
    <row r="12" spans="1:25" ht="11.25" customHeight="1">
      <c r="A12" s="304"/>
      <c r="B12" s="304"/>
      <c r="C12" s="304"/>
      <c r="D12" s="304"/>
      <c r="E12" s="305"/>
      <c r="F12" s="305"/>
      <c r="G12" s="306"/>
      <c r="H12" s="304"/>
      <c r="I12" s="304">
        <v>6010</v>
      </c>
      <c r="J12" s="307"/>
      <c r="K12" s="308"/>
      <c r="L12" s="308"/>
      <c r="M12" s="308">
        <v>15001</v>
      </c>
      <c r="N12" s="308"/>
      <c r="O12" s="309" t="s">
        <v>262</v>
      </c>
      <c r="P12" s="310">
        <v>-5000</v>
      </c>
      <c r="Q12" s="477"/>
      <c r="R12" s="477"/>
      <c r="V12" s="284">
        <f>FLOOR(IF($O12="Ano",IF($I12&lt;&gt;"",$M12+P12,0),0),1)</f>
        <v>10001</v>
      </c>
      <c r="W12" s="284">
        <f aca="true" t="shared" si="0" ref="W12:W75">FLOOR(IF($O12="Ne",IF($I12&lt;&gt;"",$M12+P12,0),0),1)</f>
        <v>0</v>
      </c>
      <c r="X12" s="284">
        <f aca="true" t="shared" si="1" ref="X12:X75">FLOOR(IF($O12="Ano",IF($H12&lt;&gt;"",$M12+P12,0),0),1)</f>
        <v>0</v>
      </c>
      <c r="Y12" s="284">
        <f aca="true" t="shared" si="2" ref="Y12:Y75">FLOOR(IF($O12="Ne",IF($H12&lt;&gt;"",$M12+P12,0),0),1)</f>
        <v>0</v>
      </c>
    </row>
    <row r="13" spans="1:25" ht="11.25" customHeight="1">
      <c r="A13" s="304"/>
      <c r="B13" s="304"/>
      <c r="C13" s="304"/>
      <c r="D13" s="304"/>
      <c r="E13" s="305"/>
      <c r="F13" s="305"/>
      <c r="G13" s="306"/>
      <c r="H13" s="304"/>
      <c r="I13" s="304"/>
      <c r="J13" s="307"/>
      <c r="K13" s="308"/>
      <c r="L13" s="308"/>
      <c r="M13" s="308"/>
      <c r="N13" s="308"/>
      <c r="O13" s="309"/>
      <c r="P13" s="310"/>
      <c r="Q13" s="477"/>
      <c r="R13" s="477"/>
      <c r="V13" s="284">
        <f aca="true" t="shared" si="3" ref="V13:V76">FLOOR(IF($O13="Ano",IF($I13&lt;&gt;"",$M13+P13,0),0),1)</f>
        <v>0</v>
      </c>
      <c r="W13" s="284">
        <f t="shared" si="0"/>
        <v>0</v>
      </c>
      <c r="X13" s="284">
        <f t="shared" si="1"/>
        <v>0</v>
      </c>
      <c r="Y13" s="284">
        <f t="shared" si="2"/>
        <v>0</v>
      </c>
    </row>
    <row r="14" spans="1:25" ht="11.25" customHeight="1">
      <c r="A14" s="304"/>
      <c r="B14" s="304"/>
      <c r="C14" s="304"/>
      <c r="D14" s="304"/>
      <c r="E14" s="305"/>
      <c r="F14" s="305"/>
      <c r="G14" s="306"/>
      <c r="H14" s="304"/>
      <c r="I14" s="304"/>
      <c r="J14" s="307"/>
      <c r="K14" s="308"/>
      <c r="L14" s="308"/>
      <c r="M14" s="308"/>
      <c r="N14" s="308"/>
      <c r="O14" s="309"/>
      <c r="P14" s="310"/>
      <c r="Q14" s="477"/>
      <c r="R14" s="477"/>
      <c r="V14" s="284">
        <f t="shared" si="3"/>
        <v>0</v>
      </c>
      <c r="W14" s="284">
        <f t="shared" si="0"/>
        <v>0</v>
      </c>
      <c r="X14" s="284">
        <f t="shared" si="1"/>
        <v>0</v>
      </c>
      <c r="Y14" s="284">
        <f t="shared" si="2"/>
        <v>0</v>
      </c>
    </row>
    <row r="15" spans="1:25" ht="11.25" customHeight="1">
      <c r="A15" s="304"/>
      <c r="B15" s="304"/>
      <c r="C15" s="304"/>
      <c r="D15" s="304"/>
      <c r="E15" s="305"/>
      <c r="F15" s="305"/>
      <c r="G15" s="306"/>
      <c r="H15" s="304"/>
      <c r="I15" s="304"/>
      <c r="J15" s="307"/>
      <c r="K15" s="308"/>
      <c r="L15" s="308"/>
      <c r="M15" s="308"/>
      <c r="N15" s="308"/>
      <c r="O15" s="309"/>
      <c r="P15" s="310"/>
      <c r="Q15" s="477"/>
      <c r="R15" s="477"/>
      <c r="V15" s="284">
        <f t="shared" si="3"/>
        <v>0</v>
      </c>
      <c r="W15" s="284">
        <f t="shared" si="0"/>
        <v>0</v>
      </c>
      <c r="X15" s="284">
        <f t="shared" si="1"/>
        <v>0</v>
      </c>
      <c r="Y15" s="284">
        <f t="shared" si="2"/>
        <v>0</v>
      </c>
    </row>
    <row r="16" spans="1:25" ht="11.25" customHeight="1">
      <c r="A16" s="304"/>
      <c r="B16" s="304"/>
      <c r="C16" s="304"/>
      <c r="D16" s="304"/>
      <c r="E16" s="305"/>
      <c r="F16" s="305"/>
      <c r="G16" s="306"/>
      <c r="H16" s="304"/>
      <c r="I16" s="304"/>
      <c r="J16" s="307"/>
      <c r="K16" s="308"/>
      <c r="L16" s="308"/>
      <c r="M16" s="308"/>
      <c r="N16" s="308"/>
      <c r="O16" s="309"/>
      <c r="P16" s="310"/>
      <c r="Q16" s="477"/>
      <c r="R16" s="477"/>
      <c r="V16" s="284">
        <f t="shared" si="3"/>
        <v>0</v>
      </c>
      <c r="W16" s="284">
        <f t="shared" si="0"/>
        <v>0</v>
      </c>
      <c r="X16" s="284">
        <f t="shared" si="1"/>
        <v>0</v>
      </c>
      <c r="Y16" s="284">
        <f t="shared" si="2"/>
        <v>0</v>
      </c>
    </row>
    <row r="17" spans="1:25" ht="11.25" customHeight="1">
      <c r="A17" s="304"/>
      <c r="B17" s="304"/>
      <c r="C17" s="304"/>
      <c r="D17" s="304"/>
      <c r="E17" s="305"/>
      <c r="F17" s="305"/>
      <c r="G17" s="306"/>
      <c r="H17" s="304"/>
      <c r="I17" s="304"/>
      <c r="J17" s="307"/>
      <c r="K17" s="308"/>
      <c r="L17" s="308"/>
      <c r="M17" s="308"/>
      <c r="N17" s="308"/>
      <c r="O17" s="309"/>
      <c r="P17" s="310"/>
      <c r="Q17" s="477"/>
      <c r="R17" s="477"/>
      <c r="V17" s="284">
        <f t="shared" si="3"/>
        <v>0</v>
      </c>
      <c r="W17" s="284">
        <f t="shared" si="0"/>
        <v>0</v>
      </c>
      <c r="X17" s="284">
        <f t="shared" si="1"/>
        <v>0</v>
      </c>
      <c r="Y17" s="284">
        <f t="shared" si="2"/>
        <v>0</v>
      </c>
    </row>
    <row r="18" spans="1:25" ht="11.25" customHeight="1">
      <c r="A18" s="304"/>
      <c r="B18" s="304"/>
      <c r="C18" s="304"/>
      <c r="D18" s="304"/>
      <c r="E18" s="305"/>
      <c r="F18" s="305"/>
      <c r="G18" s="306"/>
      <c r="H18" s="304"/>
      <c r="I18" s="304"/>
      <c r="J18" s="307"/>
      <c r="K18" s="308"/>
      <c r="L18" s="308"/>
      <c r="M18" s="308"/>
      <c r="N18" s="308"/>
      <c r="O18" s="309"/>
      <c r="P18" s="310"/>
      <c r="Q18" s="477"/>
      <c r="R18" s="477"/>
      <c r="V18" s="284">
        <f t="shared" si="3"/>
        <v>0</v>
      </c>
      <c r="W18" s="284">
        <f t="shared" si="0"/>
        <v>0</v>
      </c>
      <c r="X18" s="284">
        <f t="shared" si="1"/>
        <v>0</v>
      </c>
      <c r="Y18" s="284">
        <f t="shared" si="2"/>
        <v>0</v>
      </c>
    </row>
    <row r="19" spans="1:25" ht="11.25" customHeight="1">
      <c r="A19" s="304"/>
      <c r="B19" s="304"/>
      <c r="C19" s="304"/>
      <c r="D19" s="304"/>
      <c r="E19" s="305"/>
      <c r="F19" s="305"/>
      <c r="G19" s="306"/>
      <c r="H19" s="304"/>
      <c r="I19" s="304"/>
      <c r="J19" s="307"/>
      <c r="K19" s="308"/>
      <c r="L19" s="308"/>
      <c r="M19" s="308"/>
      <c r="N19" s="308"/>
      <c r="O19" s="309"/>
      <c r="P19" s="310"/>
      <c r="Q19" s="477"/>
      <c r="R19" s="477"/>
      <c r="V19" s="284">
        <f t="shared" si="3"/>
        <v>0</v>
      </c>
      <c r="W19" s="284">
        <f t="shared" si="0"/>
        <v>0</v>
      </c>
      <c r="X19" s="284">
        <f t="shared" si="1"/>
        <v>0</v>
      </c>
      <c r="Y19" s="284">
        <f t="shared" si="2"/>
        <v>0</v>
      </c>
    </row>
    <row r="20" spans="1:25" ht="11.25" customHeight="1">
      <c r="A20" s="304"/>
      <c r="B20" s="304"/>
      <c r="C20" s="304"/>
      <c r="D20" s="304"/>
      <c r="E20" s="305"/>
      <c r="F20" s="305"/>
      <c r="G20" s="306"/>
      <c r="H20" s="304"/>
      <c r="I20" s="304"/>
      <c r="J20" s="307"/>
      <c r="K20" s="308"/>
      <c r="L20" s="308"/>
      <c r="M20" s="308"/>
      <c r="N20" s="308"/>
      <c r="O20" s="309"/>
      <c r="P20" s="310"/>
      <c r="Q20" s="477"/>
      <c r="R20" s="477"/>
      <c r="V20" s="284">
        <f t="shared" si="3"/>
        <v>0</v>
      </c>
      <c r="W20" s="284">
        <f t="shared" si="0"/>
        <v>0</v>
      </c>
      <c r="X20" s="284">
        <f t="shared" si="1"/>
        <v>0</v>
      </c>
      <c r="Y20" s="284">
        <f t="shared" si="2"/>
        <v>0</v>
      </c>
    </row>
    <row r="21" spans="1:25" ht="11.25" customHeight="1">
      <c r="A21" s="304"/>
      <c r="B21" s="304"/>
      <c r="C21" s="304"/>
      <c r="D21" s="304"/>
      <c r="E21" s="305"/>
      <c r="F21" s="305"/>
      <c r="G21" s="306"/>
      <c r="H21" s="304"/>
      <c r="I21" s="304"/>
      <c r="J21" s="307"/>
      <c r="K21" s="308"/>
      <c r="L21" s="308"/>
      <c r="M21" s="308"/>
      <c r="N21" s="308"/>
      <c r="O21" s="309"/>
      <c r="P21" s="310"/>
      <c r="Q21" s="477"/>
      <c r="R21" s="477"/>
      <c r="V21" s="284">
        <f t="shared" si="3"/>
        <v>0</v>
      </c>
      <c r="W21" s="284">
        <f t="shared" si="0"/>
        <v>0</v>
      </c>
      <c r="X21" s="284">
        <f t="shared" si="1"/>
        <v>0</v>
      </c>
      <c r="Y21" s="284">
        <f t="shared" si="2"/>
        <v>0</v>
      </c>
    </row>
    <row r="22" spans="1:25" ht="11.25" customHeight="1">
      <c r="A22" s="304"/>
      <c r="B22" s="304"/>
      <c r="C22" s="304"/>
      <c r="D22" s="304"/>
      <c r="E22" s="305"/>
      <c r="F22" s="305"/>
      <c r="G22" s="306"/>
      <c r="H22" s="304"/>
      <c r="I22" s="304"/>
      <c r="J22" s="307"/>
      <c r="K22" s="308"/>
      <c r="L22" s="308"/>
      <c r="M22" s="308"/>
      <c r="N22" s="308"/>
      <c r="O22" s="309"/>
      <c r="P22" s="310"/>
      <c r="Q22" s="477"/>
      <c r="R22" s="477"/>
      <c r="V22" s="284">
        <f t="shared" si="3"/>
        <v>0</v>
      </c>
      <c r="W22" s="284">
        <f t="shared" si="0"/>
        <v>0</v>
      </c>
      <c r="X22" s="284">
        <f t="shared" si="1"/>
        <v>0</v>
      </c>
      <c r="Y22" s="284">
        <f t="shared" si="2"/>
        <v>0</v>
      </c>
    </row>
    <row r="23" spans="1:25" ht="11.25" customHeight="1">
      <c r="A23" s="304"/>
      <c r="B23" s="304"/>
      <c r="C23" s="304"/>
      <c r="D23" s="304"/>
      <c r="E23" s="305"/>
      <c r="F23" s="305"/>
      <c r="G23" s="306"/>
      <c r="H23" s="304"/>
      <c r="I23" s="304"/>
      <c r="J23" s="307"/>
      <c r="K23" s="308"/>
      <c r="L23" s="308"/>
      <c r="M23" s="308"/>
      <c r="N23" s="308"/>
      <c r="O23" s="309"/>
      <c r="P23" s="310"/>
      <c r="Q23" s="477"/>
      <c r="R23" s="477"/>
      <c r="V23" s="284">
        <f t="shared" si="3"/>
        <v>0</v>
      </c>
      <c r="W23" s="284">
        <f t="shared" si="0"/>
        <v>0</v>
      </c>
      <c r="X23" s="284">
        <f t="shared" si="1"/>
        <v>0</v>
      </c>
      <c r="Y23" s="284">
        <f t="shared" si="2"/>
        <v>0</v>
      </c>
    </row>
    <row r="24" spans="1:25" s="180" customFormat="1" ht="11.25" customHeight="1">
      <c r="A24" s="311"/>
      <c r="B24" s="311"/>
      <c r="C24" s="311"/>
      <c r="D24" s="304"/>
      <c r="E24" s="305"/>
      <c r="F24" s="305"/>
      <c r="G24" s="306"/>
      <c r="H24" s="304"/>
      <c r="I24" s="304"/>
      <c r="J24" s="307"/>
      <c r="K24" s="308"/>
      <c r="L24" s="308"/>
      <c r="M24" s="308"/>
      <c r="N24" s="308"/>
      <c r="O24" s="309"/>
      <c r="P24" s="312"/>
      <c r="Q24" s="477"/>
      <c r="R24" s="477"/>
      <c r="V24" s="284">
        <f t="shared" si="3"/>
        <v>0</v>
      </c>
      <c r="W24" s="284">
        <f t="shared" si="0"/>
        <v>0</v>
      </c>
      <c r="X24" s="284">
        <f t="shared" si="1"/>
        <v>0</v>
      </c>
      <c r="Y24" s="284">
        <f t="shared" si="2"/>
        <v>0</v>
      </c>
    </row>
    <row r="25" spans="1:25" ht="12">
      <c r="A25" s="304"/>
      <c r="B25" s="304"/>
      <c r="C25" s="313"/>
      <c r="D25" s="304"/>
      <c r="E25" s="305"/>
      <c r="F25" s="305"/>
      <c r="G25" s="306"/>
      <c r="H25" s="304"/>
      <c r="I25" s="304"/>
      <c r="J25" s="307"/>
      <c r="K25" s="308"/>
      <c r="L25" s="308"/>
      <c r="M25" s="308"/>
      <c r="N25" s="308"/>
      <c r="O25" s="309"/>
      <c r="P25" s="310"/>
      <c r="Q25" s="477"/>
      <c r="R25" s="477"/>
      <c r="V25" s="284">
        <f t="shared" si="3"/>
        <v>0</v>
      </c>
      <c r="W25" s="284">
        <f t="shared" si="0"/>
        <v>0</v>
      </c>
      <c r="X25" s="284">
        <f t="shared" si="1"/>
        <v>0</v>
      </c>
      <c r="Y25" s="284">
        <f t="shared" si="2"/>
        <v>0</v>
      </c>
    </row>
    <row r="26" spans="1:25" ht="12">
      <c r="A26" s="304"/>
      <c r="B26" s="304"/>
      <c r="C26" s="313"/>
      <c r="D26" s="304"/>
      <c r="E26" s="305"/>
      <c r="F26" s="305"/>
      <c r="G26" s="306"/>
      <c r="H26" s="304"/>
      <c r="I26" s="304"/>
      <c r="J26" s="307"/>
      <c r="K26" s="308"/>
      <c r="L26" s="308"/>
      <c r="M26" s="308"/>
      <c r="N26" s="308"/>
      <c r="O26" s="309"/>
      <c r="P26" s="310"/>
      <c r="Q26" s="477"/>
      <c r="R26" s="477"/>
      <c r="V26" s="284">
        <f t="shared" si="3"/>
        <v>0</v>
      </c>
      <c r="W26" s="284">
        <f t="shared" si="0"/>
        <v>0</v>
      </c>
      <c r="X26" s="284">
        <f t="shared" si="1"/>
        <v>0</v>
      </c>
      <c r="Y26" s="284">
        <f t="shared" si="2"/>
        <v>0</v>
      </c>
    </row>
    <row r="27" spans="1:25" ht="12">
      <c r="A27" s="304"/>
      <c r="B27" s="304"/>
      <c r="C27" s="313"/>
      <c r="D27" s="304"/>
      <c r="E27" s="305"/>
      <c r="F27" s="305"/>
      <c r="G27" s="306"/>
      <c r="H27" s="304"/>
      <c r="I27" s="304"/>
      <c r="J27" s="307"/>
      <c r="K27" s="308"/>
      <c r="L27" s="308"/>
      <c r="M27" s="308"/>
      <c r="N27" s="308"/>
      <c r="O27" s="309"/>
      <c r="P27" s="310"/>
      <c r="Q27" s="477"/>
      <c r="R27" s="477"/>
      <c r="V27" s="284">
        <f t="shared" si="3"/>
        <v>0</v>
      </c>
      <c r="W27" s="284">
        <f t="shared" si="0"/>
        <v>0</v>
      </c>
      <c r="X27" s="284">
        <f t="shared" si="1"/>
        <v>0</v>
      </c>
      <c r="Y27" s="284">
        <f t="shared" si="2"/>
        <v>0</v>
      </c>
    </row>
    <row r="28" spans="1:25" s="180" customFormat="1" ht="12">
      <c r="A28" s="311"/>
      <c r="B28" s="311"/>
      <c r="C28" s="311"/>
      <c r="D28" s="311"/>
      <c r="E28" s="314"/>
      <c r="F28" s="314"/>
      <c r="G28" s="315"/>
      <c r="H28" s="304"/>
      <c r="I28" s="304"/>
      <c r="J28" s="307"/>
      <c r="K28" s="308"/>
      <c r="L28" s="308"/>
      <c r="M28" s="308"/>
      <c r="N28" s="308"/>
      <c r="O28" s="309"/>
      <c r="P28" s="312"/>
      <c r="Q28" s="477"/>
      <c r="R28" s="477"/>
      <c r="V28" s="284">
        <f t="shared" si="3"/>
        <v>0</v>
      </c>
      <c r="W28" s="284">
        <f t="shared" si="0"/>
        <v>0</v>
      </c>
      <c r="X28" s="284">
        <f t="shared" si="1"/>
        <v>0</v>
      </c>
      <c r="Y28" s="284">
        <f t="shared" si="2"/>
        <v>0</v>
      </c>
    </row>
    <row r="29" spans="1:25" ht="12">
      <c r="A29" s="304"/>
      <c r="B29" s="304"/>
      <c r="C29" s="316"/>
      <c r="D29" s="304"/>
      <c r="E29" s="305"/>
      <c r="F29" s="305"/>
      <c r="G29" s="306"/>
      <c r="H29" s="304"/>
      <c r="I29" s="304"/>
      <c r="J29" s="307"/>
      <c r="K29" s="308"/>
      <c r="L29" s="308"/>
      <c r="M29" s="308"/>
      <c r="N29" s="308"/>
      <c r="O29" s="309"/>
      <c r="P29" s="310"/>
      <c r="Q29" s="477"/>
      <c r="R29" s="477"/>
      <c r="V29" s="284">
        <f t="shared" si="3"/>
        <v>0</v>
      </c>
      <c r="W29" s="284">
        <f t="shared" si="0"/>
        <v>0</v>
      </c>
      <c r="X29" s="284">
        <f t="shared" si="1"/>
        <v>0</v>
      </c>
      <c r="Y29" s="284">
        <f t="shared" si="2"/>
        <v>0</v>
      </c>
    </row>
    <row r="30" spans="1:25" ht="12">
      <c r="A30" s="304"/>
      <c r="B30" s="304"/>
      <c r="C30" s="304"/>
      <c r="D30" s="304"/>
      <c r="E30" s="305"/>
      <c r="F30" s="305"/>
      <c r="G30" s="306"/>
      <c r="H30" s="304"/>
      <c r="I30" s="304"/>
      <c r="J30" s="307"/>
      <c r="K30" s="308"/>
      <c r="L30" s="308"/>
      <c r="M30" s="308"/>
      <c r="N30" s="308"/>
      <c r="O30" s="309"/>
      <c r="P30" s="310"/>
      <c r="Q30" s="477"/>
      <c r="R30" s="477"/>
      <c r="V30" s="284">
        <f t="shared" si="3"/>
        <v>0</v>
      </c>
      <c r="W30" s="284">
        <f t="shared" si="0"/>
        <v>0</v>
      </c>
      <c r="X30" s="284">
        <f t="shared" si="1"/>
        <v>0</v>
      </c>
      <c r="Y30" s="284">
        <f t="shared" si="2"/>
        <v>0</v>
      </c>
    </row>
    <row r="31" spans="1:25" s="180" customFormat="1" ht="12">
      <c r="A31" s="311"/>
      <c r="B31" s="311"/>
      <c r="C31" s="311"/>
      <c r="D31" s="311"/>
      <c r="E31" s="317"/>
      <c r="F31" s="317"/>
      <c r="G31" s="318"/>
      <c r="H31" s="304"/>
      <c r="I31" s="304"/>
      <c r="J31" s="307"/>
      <c r="K31" s="308"/>
      <c r="L31" s="308"/>
      <c r="M31" s="308"/>
      <c r="N31" s="308"/>
      <c r="O31" s="309"/>
      <c r="P31" s="312"/>
      <c r="Q31" s="477"/>
      <c r="R31" s="477"/>
      <c r="V31" s="284">
        <f t="shared" si="3"/>
        <v>0</v>
      </c>
      <c r="W31" s="284">
        <f t="shared" si="0"/>
        <v>0</v>
      </c>
      <c r="X31" s="284">
        <f t="shared" si="1"/>
        <v>0</v>
      </c>
      <c r="Y31" s="284">
        <f t="shared" si="2"/>
        <v>0</v>
      </c>
    </row>
    <row r="32" spans="1:25" ht="12">
      <c r="A32" s="304"/>
      <c r="B32" s="304"/>
      <c r="C32" s="313"/>
      <c r="D32" s="304"/>
      <c r="E32" s="305"/>
      <c r="F32" s="305"/>
      <c r="G32" s="306"/>
      <c r="H32" s="304"/>
      <c r="I32" s="304"/>
      <c r="J32" s="307"/>
      <c r="K32" s="308"/>
      <c r="L32" s="308"/>
      <c r="M32" s="308"/>
      <c r="N32" s="308"/>
      <c r="O32" s="309"/>
      <c r="P32" s="310"/>
      <c r="Q32" s="477"/>
      <c r="R32" s="477"/>
      <c r="V32" s="284">
        <f t="shared" si="3"/>
        <v>0</v>
      </c>
      <c r="W32" s="284">
        <f t="shared" si="0"/>
        <v>0</v>
      </c>
      <c r="X32" s="284">
        <f t="shared" si="1"/>
        <v>0</v>
      </c>
      <c r="Y32" s="284">
        <f t="shared" si="2"/>
        <v>0</v>
      </c>
    </row>
    <row r="33" spans="1:25" s="180" customFormat="1" ht="12">
      <c r="A33" s="311"/>
      <c r="B33" s="311"/>
      <c r="C33" s="313"/>
      <c r="D33" s="304"/>
      <c r="E33" s="319"/>
      <c r="F33" s="319"/>
      <c r="G33" s="320"/>
      <c r="H33" s="304"/>
      <c r="I33" s="304"/>
      <c r="J33" s="307"/>
      <c r="K33" s="308"/>
      <c r="L33" s="308"/>
      <c r="M33" s="308"/>
      <c r="N33" s="308"/>
      <c r="O33" s="309"/>
      <c r="P33" s="312"/>
      <c r="Q33" s="477"/>
      <c r="R33" s="477"/>
      <c r="V33" s="284">
        <f t="shared" si="3"/>
        <v>0</v>
      </c>
      <c r="W33" s="284">
        <f t="shared" si="0"/>
        <v>0</v>
      </c>
      <c r="X33" s="284">
        <f t="shared" si="1"/>
        <v>0</v>
      </c>
      <c r="Y33" s="284">
        <f t="shared" si="2"/>
        <v>0</v>
      </c>
    </row>
    <row r="34" spans="1:25" ht="12">
      <c r="A34" s="304"/>
      <c r="B34" s="304"/>
      <c r="C34" s="316"/>
      <c r="D34" s="304"/>
      <c r="E34" s="305"/>
      <c r="F34" s="305"/>
      <c r="G34" s="306"/>
      <c r="H34" s="304"/>
      <c r="I34" s="304"/>
      <c r="J34" s="307"/>
      <c r="K34" s="308"/>
      <c r="L34" s="308"/>
      <c r="M34" s="308"/>
      <c r="N34" s="308"/>
      <c r="O34" s="309"/>
      <c r="P34" s="310"/>
      <c r="Q34" s="477"/>
      <c r="R34" s="477"/>
      <c r="V34" s="284">
        <f t="shared" si="3"/>
        <v>0</v>
      </c>
      <c r="W34" s="284">
        <f t="shared" si="0"/>
        <v>0</v>
      </c>
      <c r="X34" s="284">
        <f t="shared" si="1"/>
        <v>0</v>
      </c>
      <c r="Y34" s="284">
        <f t="shared" si="2"/>
        <v>0</v>
      </c>
    </row>
    <row r="35" spans="1:25" s="180" customFormat="1" ht="12">
      <c r="A35" s="311"/>
      <c r="B35" s="311"/>
      <c r="C35" s="313"/>
      <c r="D35" s="304"/>
      <c r="E35" s="319"/>
      <c r="F35" s="319"/>
      <c r="G35" s="320"/>
      <c r="H35" s="304"/>
      <c r="I35" s="304"/>
      <c r="J35" s="307"/>
      <c r="K35" s="308"/>
      <c r="L35" s="308"/>
      <c r="M35" s="308"/>
      <c r="N35" s="308"/>
      <c r="O35" s="309"/>
      <c r="P35" s="312"/>
      <c r="Q35" s="477"/>
      <c r="R35" s="477"/>
      <c r="V35" s="284">
        <f t="shared" si="3"/>
        <v>0</v>
      </c>
      <c r="W35" s="284">
        <f t="shared" si="0"/>
        <v>0</v>
      </c>
      <c r="X35" s="284">
        <f t="shared" si="1"/>
        <v>0</v>
      </c>
      <c r="Y35" s="284">
        <f t="shared" si="2"/>
        <v>0</v>
      </c>
    </row>
    <row r="36" spans="1:25" ht="12">
      <c r="A36" s="304"/>
      <c r="B36" s="304"/>
      <c r="C36" s="316"/>
      <c r="D36" s="304"/>
      <c r="E36" s="305"/>
      <c r="F36" s="305"/>
      <c r="G36" s="306"/>
      <c r="H36" s="304"/>
      <c r="I36" s="304"/>
      <c r="J36" s="307"/>
      <c r="K36" s="308"/>
      <c r="L36" s="308"/>
      <c r="M36" s="308"/>
      <c r="N36" s="308"/>
      <c r="O36" s="309"/>
      <c r="P36" s="310"/>
      <c r="Q36" s="477"/>
      <c r="R36" s="477"/>
      <c r="V36" s="284">
        <f t="shared" si="3"/>
        <v>0</v>
      </c>
      <c r="W36" s="284">
        <f t="shared" si="0"/>
        <v>0</v>
      </c>
      <c r="X36" s="284">
        <f t="shared" si="1"/>
        <v>0</v>
      </c>
      <c r="Y36" s="284">
        <f t="shared" si="2"/>
        <v>0</v>
      </c>
    </row>
    <row r="37" spans="1:25" ht="12">
      <c r="A37" s="304"/>
      <c r="B37" s="304"/>
      <c r="C37" s="316"/>
      <c r="D37" s="311"/>
      <c r="E37" s="317"/>
      <c r="F37" s="317"/>
      <c r="G37" s="318"/>
      <c r="H37" s="304"/>
      <c r="I37" s="304"/>
      <c r="J37" s="307"/>
      <c r="K37" s="308"/>
      <c r="L37" s="308"/>
      <c r="M37" s="308"/>
      <c r="N37" s="308"/>
      <c r="O37" s="309"/>
      <c r="P37" s="310"/>
      <c r="Q37" s="477"/>
      <c r="R37" s="477"/>
      <c r="V37" s="284">
        <f t="shared" si="3"/>
        <v>0</v>
      </c>
      <c r="W37" s="284">
        <f t="shared" si="0"/>
        <v>0</v>
      </c>
      <c r="X37" s="284">
        <f t="shared" si="1"/>
        <v>0</v>
      </c>
      <c r="Y37" s="284">
        <f t="shared" si="2"/>
        <v>0</v>
      </c>
    </row>
    <row r="38" spans="1:25" ht="12">
      <c r="A38" s="304"/>
      <c r="B38" s="304"/>
      <c r="C38" s="316"/>
      <c r="D38" s="311"/>
      <c r="E38" s="317"/>
      <c r="F38" s="317"/>
      <c r="G38" s="318"/>
      <c r="H38" s="304"/>
      <c r="I38" s="304"/>
      <c r="J38" s="307"/>
      <c r="K38" s="308"/>
      <c r="L38" s="308"/>
      <c r="M38" s="308"/>
      <c r="N38" s="308"/>
      <c r="O38" s="309"/>
      <c r="P38" s="310"/>
      <c r="Q38" s="477"/>
      <c r="R38" s="477"/>
      <c r="V38" s="284">
        <f t="shared" si="3"/>
        <v>0</v>
      </c>
      <c r="W38" s="284">
        <f t="shared" si="0"/>
        <v>0</v>
      </c>
      <c r="X38" s="284">
        <f t="shared" si="1"/>
        <v>0</v>
      </c>
      <c r="Y38" s="284">
        <f t="shared" si="2"/>
        <v>0</v>
      </c>
    </row>
    <row r="39" spans="1:25" ht="12">
      <c r="A39" s="304"/>
      <c r="B39" s="304"/>
      <c r="C39" s="316"/>
      <c r="D39" s="311"/>
      <c r="E39" s="317"/>
      <c r="F39" s="317"/>
      <c r="G39" s="318"/>
      <c r="H39" s="304"/>
      <c r="I39" s="304"/>
      <c r="J39" s="307"/>
      <c r="K39" s="308"/>
      <c r="L39" s="308"/>
      <c r="M39" s="308"/>
      <c r="N39" s="308"/>
      <c r="O39" s="309"/>
      <c r="P39" s="310"/>
      <c r="Q39" s="477"/>
      <c r="R39" s="477"/>
      <c r="V39" s="284">
        <f t="shared" si="3"/>
        <v>0</v>
      </c>
      <c r="W39" s="284">
        <f t="shared" si="0"/>
        <v>0</v>
      </c>
      <c r="X39" s="284">
        <f t="shared" si="1"/>
        <v>0</v>
      </c>
      <c r="Y39" s="284">
        <f t="shared" si="2"/>
        <v>0</v>
      </c>
    </row>
    <row r="40" spans="1:25" ht="12">
      <c r="A40" s="304"/>
      <c r="B40" s="304"/>
      <c r="C40" s="316"/>
      <c r="D40" s="311"/>
      <c r="E40" s="317"/>
      <c r="F40" s="317"/>
      <c r="G40" s="318"/>
      <c r="H40" s="304"/>
      <c r="I40" s="304"/>
      <c r="J40" s="307"/>
      <c r="K40" s="308"/>
      <c r="L40" s="308"/>
      <c r="M40" s="308"/>
      <c r="N40" s="308"/>
      <c r="O40" s="309"/>
      <c r="P40" s="310"/>
      <c r="Q40" s="477"/>
      <c r="R40" s="477"/>
      <c r="V40" s="284">
        <f t="shared" si="3"/>
        <v>0</v>
      </c>
      <c r="W40" s="284">
        <f t="shared" si="0"/>
        <v>0</v>
      </c>
      <c r="X40" s="284">
        <f t="shared" si="1"/>
        <v>0</v>
      </c>
      <c r="Y40" s="284">
        <f t="shared" si="2"/>
        <v>0</v>
      </c>
    </row>
    <row r="41" spans="1:25" ht="12">
      <c r="A41" s="304"/>
      <c r="B41" s="304"/>
      <c r="C41" s="316"/>
      <c r="D41" s="311"/>
      <c r="E41" s="317"/>
      <c r="F41" s="317"/>
      <c r="G41" s="318"/>
      <c r="H41" s="304"/>
      <c r="I41" s="304"/>
      <c r="J41" s="307"/>
      <c r="K41" s="308"/>
      <c r="L41" s="308"/>
      <c r="M41" s="308"/>
      <c r="N41" s="308"/>
      <c r="O41" s="309"/>
      <c r="P41" s="310"/>
      <c r="Q41" s="477"/>
      <c r="R41" s="477"/>
      <c r="V41" s="284">
        <f t="shared" si="3"/>
        <v>0</v>
      </c>
      <c r="W41" s="284">
        <f t="shared" si="0"/>
        <v>0</v>
      </c>
      <c r="X41" s="284">
        <f t="shared" si="1"/>
        <v>0</v>
      </c>
      <c r="Y41" s="284">
        <f t="shared" si="2"/>
        <v>0</v>
      </c>
    </row>
    <row r="42" spans="1:25" ht="12">
      <c r="A42" s="304"/>
      <c r="B42" s="304"/>
      <c r="C42" s="316"/>
      <c r="D42" s="311"/>
      <c r="E42" s="317"/>
      <c r="F42" s="317"/>
      <c r="G42" s="318"/>
      <c r="H42" s="304"/>
      <c r="I42" s="304"/>
      <c r="J42" s="307"/>
      <c r="K42" s="308"/>
      <c r="L42" s="308"/>
      <c r="M42" s="308"/>
      <c r="N42" s="308"/>
      <c r="O42" s="309"/>
      <c r="P42" s="310"/>
      <c r="Q42" s="477"/>
      <c r="R42" s="477"/>
      <c r="V42" s="284">
        <f t="shared" si="3"/>
        <v>0</v>
      </c>
      <c r="W42" s="284">
        <f t="shared" si="0"/>
        <v>0</v>
      </c>
      <c r="X42" s="284">
        <f t="shared" si="1"/>
        <v>0</v>
      </c>
      <c r="Y42" s="284">
        <f t="shared" si="2"/>
        <v>0</v>
      </c>
    </row>
    <row r="43" spans="1:25" ht="12">
      <c r="A43" s="304"/>
      <c r="B43" s="304"/>
      <c r="C43" s="316"/>
      <c r="D43" s="311"/>
      <c r="E43" s="317"/>
      <c r="F43" s="317"/>
      <c r="G43" s="318"/>
      <c r="H43" s="304"/>
      <c r="I43" s="304"/>
      <c r="J43" s="307"/>
      <c r="K43" s="308"/>
      <c r="L43" s="308"/>
      <c r="M43" s="308"/>
      <c r="N43" s="308"/>
      <c r="O43" s="309"/>
      <c r="P43" s="310"/>
      <c r="Q43" s="477"/>
      <c r="R43" s="477"/>
      <c r="V43" s="284">
        <f t="shared" si="3"/>
        <v>0</v>
      </c>
      <c r="W43" s="284">
        <f t="shared" si="0"/>
        <v>0</v>
      </c>
      <c r="X43" s="284">
        <f t="shared" si="1"/>
        <v>0</v>
      </c>
      <c r="Y43" s="284">
        <f t="shared" si="2"/>
        <v>0</v>
      </c>
    </row>
    <row r="44" spans="1:25" ht="12">
      <c r="A44" s="304"/>
      <c r="B44" s="304"/>
      <c r="C44" s="316"/>
      <c r="D44" s="311"/>
      <c r="E44" s="317"/>
      <c r="F44" s="317"/>
      <c r="G44" s="318"/>
      <c r="H44" s="304"/>
      <c r="I44" s="304"/>
      <c r="J44" s="307"/>
      <c r="K44" s="308"/>
      <c r="L44" s="308"/>
      <c r="M44" s="308"/>
      <c r="N44" s="308"/>
      <c r="O44" s="309"/>
      <c r="P44" s="310"/>
      <c r="Q44" s="477"/>
      <c r="R44" s="477"/>
      <c r="V44" s="284">
        <f t="shared" si="3"/>
        <v>0</v>
      </c>
      <c r="W44" s="284">
        <f t="shared" si="0"/>
        <v>0</v>
      </c>
      <c r="X44" s="284">
        <f t="shared" si="1"/>
        <v>0</v>
      </c>
      <c r="Y44" s="284">
        <f t="shared" si="2"/>
        <v>0</v>
      </c>
    </row>
    <row r="45" spans="1:25" ht="12">
      <c r="A45" s="304"/>
      <c r="B45" s="304"/>
      <c r="C45" s="316"/>
      <c r="D45" s="311"/>
      <c r="E45" s="317"/>
      <c r="F45" s="317"/>
      <c r="G45" s="318"/>
      <c r="H45" s="304"/>
      <c r="I45" s="304"/>
      <c r="J45" s="307"/>
      <c r="K45" s="308"/>
      <c r="L45" s="308"/>
      <c r="M45" s="308"/>
      <c r="N45" s="308"/>
      <c r="O45" s="309"/>
      <c r="P45" s="310"/>
      <c r="Q45" s="477"/>
      <c r="R45" s="477"/>
      <c r="V45" s="284">
        <f t="shared" si="3"/>
        <v>0</v>
      </c>
      <c r="W45" s="284">
        <f t="shared" si="0"/>
        <v>0</v>
      </c>
      <c r="X45" s="284">
        <f t="shared" si="1"/>
        <v>0</v>
      </c>
      <c r="Y45" s="284">
        <f t="shared" si="2"/>
        <v>0</v>
      </c>
    </row>
    <row r="46" spans="1:25" ht="12">
      <c r="A46" s="304"/>
      <c r="B46" s="304"/>
      <c r="C46" s="316"/>
      <c r="D46" s="311"/>
      <c r="E46" s="317"/>
      <c r="F46" s="317"/>
      <c r="G46" s="318"/>
      <c r="H46" s="304"/>
      <c r="I46" s="304"/>
      <c r="J46" s="307"/>
      <c r="K46" s="308"/>
      <c r="L46" s="308"/>
      <c r="M46" s="308"/>
      <c r="N46" s="308"/>
      <c r="O46" s="309"/>
      <c r="P46" s="310"/>
      <c r="Q46" s="477"/>
      <c r="R46" s="477"/>
      <c r="V46" s="284">
        <f t="shared" si="3"/>
        <v>0</v>
      </c>
      <c r="W46" s="284">
        <f t="shared" si="0"/>
        <v>0</v>
      </c>
      <c r="X46" s="284">
        <f t="shared" si="1"/>
        <v>0</v>
      </c>
      <c r="Y46" s="284">
        <f t="shared" si="2"/>
        <v>0</v>
      </c>
    </row>
    <row r="47" spans="1:25" ht="12">
      <c r="A47" s="304"/>
      <c r="B47" s="304"/>
      <c r="C47" s="316"/>
      <c r="D47" s="311"/>
      <c r="E47" s="317"/>
      <c r="F47" s="317"/>
      <c r="G47" s="318"/>
      <c r="H47" s="304"/>
      <c r="I47" s="304"/>
      <c r="J47" s="307"/>
      <c r="K47" s="308"/>
      <c r="L47" s="308"/>
      <c r="M47" s="308"/>
      <c r="N47" s="308"/>
      <c r="O47" s="309"/>
      <c r="P47" s="310"/>
      <c r="Q47" s="477"/>
      <c r="R47" s="477"/>
      <c r="V47" s="284">
        <f t="shared" si="3"/>
        <v>0</v>
      </c>
      <c r="W47" s="284">
        <f t="shared" si="0"/>
        <v>0</v>
      </c>
      <c r="X47" s="284">
        <f t="shared" si="1"/>
        <v>0</v>
      </c>
      <c r="Y47" s="284">
        <f t="shared" si="2"/>
        <v>0</v>
      </c>
    </row>
    <row r="48" spans="1:25" ht="12">
      <c r="A48" s="304"/>
      <c r="B48" s="304"/>
      <c r="C48" s="311"/>
      <c r="D48" s="311"/>
      <c r="E48" s="317"/>
      <c r="F48" s="317"/>
      <c r="G48" s="318"/>
      <c r="H48" s="304"/>
      <c r="I48" s="304"/>
      <c r="J48" s="307"/>
      <c r="K48" s="308"/>
      <c r="L48" s="308"/>
      <c r="M48" s="308"/>
      <c r="N48" s="308"/>
      <c r="O48" s="309"/>
      <c r="P48" s="310"/>
      <c r="Q48" s="477"/>
      <c r="R48" s="477"/>
      <c r="V48" s="284">
        <f t="shared" si="3"/>
        <v>0</v>
      </c>
      <c r="W48" s="284">
        <f t="shared" si="0"/>
        <v>0</v>
      </c>
      <c r="X48" s="284">
        <f t="shared" si="1"/>
        <v>0</v>
      </c>
      <c r="Y48" s="284">
        <f t="shared" si="2"/>
        <v>0</v>
      </c>
    </row>
    <row r="49" spans="1:25" ht="12">
      <c r="A49" s="304"/>
      <c r="B49" s="304"/>
      <c r="C49" s="304"/>
      <c r="D49" s="304"/>
      <c r="E49" s="319"/>
      <c r="F49" s="319"/>
      <c r="G49" s="320"/>
      <c r="H49" s="304"/>
      <c r="I49" s="304"/>
      <c r="J49" s="307"/>
      <c r="K49" s="308"/>
      <c r="L49" s="308"/>
      <c r="M49" s="308"/>
      <c r="N49" s="308"/>
      <c r="O49" s="309"/>
      <c r="P49" s="310"/>
      <c r="Q49" s="477"/>
      <c r="R49" s="477"/>
      <c r="V49" s="284">
        <f t="shared" si="3"/>
        <v>0</v>
      </c>
      <c r="W49" s="284">
        <f t="shared" si="0"/>
        <v>0</v>
      </c>
      <c r="X49" s="284">
        <f t="shared" si="1"/>
        <v>0</v>
      </c>
      <c r="Y49" s="284">
        <f t="shared" si="2"/>
        <v>0</v>
      </c>
    </row>
    <row r="50" spans="1:25" ht="12">
      <c r="A50" s="304"/>
      <c r="B50" s="304"/>
      <c r="C50" s="304"/>
      <c r="D50" s="304"/>
      <c r="E50" s="319"/>
      <c r="F50" s="319"/>
      <c r="G50" s="320"/>
      <c r="H50" s="304"/>
      <c r="I50" s="304"/>
      <c r="J50" s="307"/>
      <c r="K50" s="308"/>
      <c r="L50" s="308"/>
      <c r="M50" s="308"/>
      <c r="N50" s="308"/>
      <c r="O50" s="309"/>
      <c r="P50" s="310"/>
      <c r="Q50" s="477"/>
      <c r="R50" s="477"/>
      <c r="V50" s="284">
        <f t="shared" si="3"/>
        <v>0</v>
      </c>
      <c r="W50" s="284">
        <f t="shared" si="0"/>
        <v>0</v>
      </c>
      <c r="X50" s="284">
        <f t="shared" si="1"/>
        <v>0</v>
      </c>
      <c r="Y50" s="284">
        <f t="shared" si="2"/>
        <v>0</v>
      </c>
    </row>
    <row r="51" spans="1:25" ht="12">
      <c r="A51" s="304"/>
      <c r="B51" s="304"/>
      <c r="C51" s="304"/>
      <c r="D51" s="304"/>
      <c r="E51" s="319"/>
      <c r="F51" s="319"/>
      <c r="G51" s="320"/>
      <c r="H51" s="304"/>
      <c r="I51" s="304"/>
      <c r="J51" s="307"/>
      <c r="K51" s="308"/>
      <c r="L51" s="308"/>
      <c r="M51" s="308"/>
      <c r="N51" s="308"/>
      <c r="O51" s="309"/>
      <c r="P51" s="310"/>
      <c r="Q51" s="477"/>
      <c r="R51" s="477"/>
      <c r="V51" s="284">
        <f t="shared" si="3"/>
        <v>0</v>
      </c>
      <c r="W51" s="284">
        <f t="shared" si="0"/>
        <v>0</v>
      </c>
      <c r="X51" s="284">
        <f t="shared" si="1"/>
        <v>0</v>
      </c>
      <c r="Y51" s="284">
        <f t="shared" si="2"/>
        <v>0</v>
      </c>
    </row>
    <row r="52" spans="1:25" ht="12">
      <c r="A52" s="304"/>
      <c r="B52" s="304"/>
      <c r="C52" s="304"/>
      <c r="D52" s="304"/>
      <c r="E52" s="319"/>
      <c r="F52" s="319"/>
      <c r="G52" s="320"/>
      <c r="H52" s="304"/>
      <c r="I52" s="304"/>
      <c r="J52" s="307"/>
      <c r="K52" s="308"/>
      <c r="L52" s="308"/>
      <c r="M52" s="308"/>
      <c r="N52" s="308"/>
      <c r="O52" s="309"/>
      <c r="P52" s="310"/>
      <c r="Q52" s="477"/>
      <c r="R52" s="477"/>
      <c r="V52" s="284">
        <f t="shared" si="3"/>
        <v>0</v>
      </c>
      <c r="W52" s="284">
        <f t="shared" si="0"/>
        <v>0</v>
      </c>
      <c r="X52" s="284">
        <f t="shared" si="1"/>
        <v>0</v>
      </c>
      <c r="Y52" s="284">
        <f t="shared" si="2"/>
        <v>0</v>
      </c>
    </row>
    <row r="53" spans="1:25" ht="12">
      <c r="A53" s="304"/>
      <c r="B53" s="304"/>
      <c r="C53" s="304"/>
      <c r="D53" s="304"/>
      <c r="E53" s="319"/>
      <c r="F53" s="319"/>
      <c r="G53" s="320"/>
      <c r="H53" s="304"/>
      <c r="I53" s="304"/>
      <c r="J53" s="307"/>
      <c r="K53" s="308"/>
      <c r="L53" s="308"/>
      <c r="M53" s="308"/>
      <c r="N53" s="308"/>
      <c r="O53" s="309"/>
      <c r="P53" s="310"/>
      <c r="Q53" s="477"/>
      <c r="R53" s="477"/>
      <c r="V53" s="284">
        <f t="shared" si="3"/>
        <v>0</v>
      </c>
      <c r="W53" s="284">
        <f t="shared" si="0"/>
        <v>0</v>
      </c>
      <c r="X53" s="284">
        <f t="shared" si="1"/>
        <v>0</v>
      </c>
      <c r="Y53" s="284">
        <f t="shared" si="2"/>
        <v>0</v>
      </c>
    </row>
    <row r="54" spans="1:25" ht="12">
      <c r="A54" s="304"/>
      <c r="B54" s="304"/>
      <c r="C54" s="304"/>
      <c r="D54" s="304"/>
      <c r="E54" s="319"/>
      <c r="F54" s="319"/>
      <c r="G54" s="320"/>
      <c r="H54" s="304"/>
      <c r="I54" s="304"/>
      <c r="J54" s="307"/>
      <c r="K54" s="308"/>
      <c r="L54" s="308"/>
      <c r="M54" s="308"/>
      <c r="N54" s="308"/>
      <c r="O54" s="309"/>
      <c r="P54" s="310"/>
      <c r="Q54" s="477"/>
      <c r="R54" s="477"/>
      <c r="V54" s="284">
        <f t="shared" si="3"/>
        <v>0</v>
      </c>
      <c r="W54" s="284">
        <f t="shared" si="0"/>
        <v>0</v>
      </c>
      <c r="X54" s="284">
        <f t="shared" si="1"/>
        <v>0</v>
      </c>
      <c r="Y54" s="284">
        <f t="shared" si="2"/>
        <v>0</v>
      </c>
    </row>
    <row r="55" spans="1:25" ht="12">
      <c r="A55" s="304"/>
      <c r="B55" s="304"/>
      <c r="C55" s="304"/>
      <c r="D55" s="304"/>
      <c r="E55" s="319"/>
      <c r="F55" s="319"/>
      <c r="G55" s="320"/>
      <c r="H55" s="304"/>
      <c r="I55" s="304"/>
      <c r="J55" s="307"/>
      <c r="K55" s="308"/>
      <c r="L55" s="308"/>
      <c r="M55" s="308"/>
      <c r="N55" s="308"/>
      <c r="O55" s="309"/>
      <c r="P55" s="310"/>
      <c r="Q55" s="477"/>
      <c r="R55" s="477"/>
      <c r="V55" s="284">
        <f t="shared" si="3"/>
        <v>0</v>
      </c>
      <c r="W55" s="284">
        <f t="shared" si="0"/>
        <v>0</v>
      </c>
      <c r="X55" s="284">
        <f t="shared" si="1"/>
        <v>0</v>
      </c>
      <c r="Y55" s="284">
        <f t="shared" si="2"/>
        <v>0</v>
      </c>
    </row>
    <row r="56" spans="1:25" ht="12">
      <c r="A56" s="304"/>
      <c r="B56" s="304"/>
      <c r="C56" s="304"/>
      <c r="D56" s="304"/>
      <c r="E56" s="319"/>
      <c r="F56" s="319"/>
      <c r="G56" s="320"/>
      <c r="H56" s="304"/>
      <c r="I56" s="304"/>
      <c r="J56" s="307"/>
      <c r="K56" s="308"/>
      <c r="L56" s="308"/>
      <c r="M56" s="308"/>
      <c r="N56" s="308"/>
      <c r="O56" s="309"/>
      <c r="P56" s="310"/>
      <c r="Q56" s="477"/>
      <c r="R56" s="477"/>
      <c r="V56" s="284">
        <f t="shared" si="3"/>
        <v>0</v>
      </c>
      <c r="W56" s="284">
        <f t="shared" si="0"/>
        <v>0</v>
      </c>
      <c r="X56" s="284">
        <f t="shared" si="1"/>
        <v>0</v>
      </c>
      <c r="Y56" s="284">
        <f t="shared" si="2"/>
        <v>0</v>
      </c>
    </row>
    <row r="57" spans="1:25" ht="12">
      <c r="A57" s="304"/>
      <c r="B57" s="304"/>
      <c r="C57" s="304"/>
      <c r="D57" s="304"/>
      <c r="E57" s="319"/>
      <c r="F57" s="319"/>
      <c r="G57" s="320"/>
      <c r="H57" s="304"/>
      <c r="I57" s="304"/>
      <c r="J57" s="307"/>
      <c r="K57" s="308"/>
      <c r="L57" s="308"/>
      <c r="M57" s="308"/>
      <c r="N57" s="308"/>
      <c r="O57" s="309"/>
      <c r="P57" s="310"/>
      <c r="Q57" s="477"/>
      <c r="R57" s="477"/>
      <c r="V57" s="284">
        <f t="shared" si="3"/>
        <v>0</v>
      </c>
      <c r="W57" s="284">
        <f t="shared" si="0"/>
        <v>0</v>
      </c>
      <c r="X57" s="284">
        <f t="shared" si="1"/>
        <v>0</v>
      </c>
      <c r="Y57" s="284">
        <f t="shared" si="2"/>
        <v>0</v>
      </c>
    </row>
    <row r="58" spans="1:25" ht="12">
      <c r="A58" s="304"/>
      <c r="B58" s="304"/>
      <c r="C58" s="304"/>
      <c r="D58" s="304"/>
      <c r="E58" s="319"/>
      <c r="F58" s="319"/>
      <c r="G58" s="320"/>
      <c r="H58" s="304"/>
      <c r="I58" s="304"/>
      <c r="J58" s="307"/>
      <c r="K58" s="308"/>
      <c r="L58" s="308"/>
      <c r="M58" s="308"/>
      <c r="N58" s="308"/>
      <c r="O58" s="309"/>
      <c r="P58" s="310"/>
      <c r="Q58" s="477"/>
      <c r="R58" s="477"/>
      <c r="V58" s="284">
        <f t="shared" si="3"/>
        <v>0</v>
      </c>
      <c r="W58" s="284">
        <f t="shared" si="0"/>
        <v>0</v>
      </c>
      <c r="X58" s="284">
        <f t="shared" si="1"/>
        <v>0</v>
      </c>
      <c r="Y58" s="284">
        <f t="shared" si="2"/>
        <v>0</v>
      </c>
    </row>
    <row r="59" spans="1:25" ht="12">
      <c r="A59" s="304"/>
      <c r="B59" s="304"/>
      <c r="C59" s="304"/>
      <c r="D59" s="304"/>
      <c r="E59" s="319"/>
      <c r="F59" s="319"/>
      <c r="G59" s="320"/>
      <c r="H59" s="304"/>
      <c r="I59" s="304"/>
      <c r="J59" s="307"/>
      <c r="K59" s="308"/>
      <c r="L59" s="308"/>
      <c r="M59" s="308"/>
      <c r="N59" s="308"/>
      <c r="O59" s="309"/>
      <c r="P59" s="310"/>
      <c r="Q59" s="477"/>
      <c r="R59" s="477"/>
      <c r="V59" s="284">
        <f t="shared" si="3"/>
        <v>0</v>
      </c>
      <c r="W59" s="284">
        <f t="shared" si="0"/>
        <v>0</v>
      </c>
      <c r="X59" s="284">
        <f t="shared" si="1"/>
        <v>0</v>
      </c>
      <c r="Y59" s="284">
        <f t="shared" si="2"/>
        <v>0</v>
      </c>
    </row>
    <row r="60" spans="1:25" ht="12">
      <c r="A60" s="304"/>
      <c r="B60" s="304"/>
      <c r="C60" s="304"/>
      <c r="D60" s="304"/>
      <c r="E60" s="319"/>
      <c r="F60" s="319"/>
      <c r="G60" s="320"/>
      <c r="H60" s="304"/>
      <c r="I60" s="304"/>
      <c r="J60" s="307"/>
      <c r="K60" s="308"/>
      <c r="L60" s="308"/>
      <c r="M60" s="308"/>
      <c r="N60" s="308"/>
      <c r="O60" s="309"/>
      <c r="P60" s="310"/>
      <c r="Q60" s="477"/>
      <c r="R60" s="477"/>
      <c r="V60" s="284">
        <f t="shared" si="3"/>
        <v>0</v>
      </c>
      <c r="W60" s="284">
        <f t="shared" si="0"/>
        <v>0</v>
      </c>
      <c r="X60" s="284">
        <f t="shared" si="1"/>
        <v>0</v>
      </c>
      <c r="Y60" s="284">
        <f t="shared" si="2"/>
        <v>0</v>
      </c>
    </row>
    <row r="61" spans="1:25" ht="12">
      <c r="A61" s="304"/>
      <c r="B61" s="304"/>
      <c r="C61" s="304"/>
      <c r="D61" s="304"/>
      <c r="E61" s="319"/>
      <c r="F61" s="319"/>
      <c r="G61" s="320"/>
      <c r="H61" s="304"/>
      <c r="I61" s="304"/>
      <c r="J61" s="307"/>
      <c r="K61" s="308"/>
      <c r="L61" s="308"/>
      <c r="M61" s="308"/>
      <c r="N61" s="308"/>
      <c r="O61" s="309"/>
      <c r="P61" s="310"/>
      <c r="Q61" s="477"/>
      <c r="R61" s="477"/>
      <c r="V61" s="284">
        <f t="shared" si="3"/>
        <v>0</v>
      </c>
      <c r="W61" s="284">
        <f t="shared" si="0"/>
        <v>0</v>
      </c>
      <c r="X61" s="284">
        <f t="shared" si="1"/>
        <v>0</v>
      </c>
      <c r="Y61" s="284">
        <f t="shared" si="2"/>
        <v>0</v>
      </c>
    </row>
    <row r="62" spans="1:25" ht="12">
      <c r="A62" s="304"/>
      <c r="B62" s="304"/>
      <c r="C62" s="304"/>
      <c r="D62" s="304"/>
      <c r="E62" s="319"/>
      <c r="F62" s="319"/>
      <c r="G62" s="320"/>
      <c r="H62" s="304"/>
      <c r="I62" s="304"/>
      <c r="J62" s="307"/>
      <c r="K62" s="308"/>
      <c r="L62" s="308"/>
      <c r="M62" s="308"/>
      <c r="N62" s="308"/>
      <c r="O62" s="309"/>
      <c r="P62" s="310"/>
      <c r="Q62" s="477"/>
      <c r="R62" s="477"/>
      <c r="V62" s="284">
        <f t="shared" si="3"/>
        <v>0</v>
      </c>
      <c r="W62" s="284">
        <f t="shared" si="0"/>
        <v>0</v>
      </c>
      <c r="X62" s="284">
        <f t="shared" si="1"/>
        <v>0</v>
      </c>
      <c r="Y62" s="284">
        <f t="shared" si="2"/>
        <v>0</v>
      </c>
    </row>
    <row r="63" spans="1:25" ht="12">
      <c r="A63" s="304"/>
      <c r="B63" s="304"/>
      <c r="C63" s="304"/>
      <c r="D63" s="304"/>
      <c r="E63" s="319"/>
      <c r="F63" s="319"/>
      <c r="G63" s="320"/>
      <c r="H63" s="304"/>
      <c r="I63" s="304"/>
      <c r="J63" s="307"/>
      <c r="K63" s="308"/>
      <c r="L63" s="308"/>
      <c r="M63" s="308"/>
      <c r="N63" s="308"/>
      <c r="O63" s="309"/>
      <c r="P63" s="310"/>
      <c r="Q63" s="477"/>
      <c r="R63" s="477"/>
      <c r="V63" s="284">
        <f t="shared" si="3"/>
        <v>0</v>
      </c>
      <c r="W63" s="284">
        <f t="shared" si="0"/>
        <v>0</v>
      </c>
      <c r="X63" s="284">
        <f t="shared" si="1"/>
        <v>0</v>
      </c>
      <c r="Y63" s="284">
        <f t="shared" si="2"/>
        <v>0</v>
      </c>
    </row>
    <row r="64" spans="1:25" ht="12">
      <c r="A64" s="304"/>
      <c r="B64" s="304"/>
      <c r="C64" s="304"/>
      <c r="D64" s="304"/>
      <c r="E64" s="319"/>
      <c r="F64" s="319"/>
      <c r="G64" s="320"/>
      <c r="H64" s="304"/>
      <c r="I64" s="304"/>
      <c r="J64" s="307"/>
      <c r="K64" s="308"/>
      <c r="L64" s="308"/>
      <c r="M64" s="308"/>
      <c r="N64" s="308"/>
      <c r="O64" s="309"/>
      <c r="P64" s="310"/>
      <c r="Q64" s="477"/>
      <c r="R64" s="477"/>
      <c r="V64" s="284">
        <f t="shared" si="3"/>
        <v>0</v>
      </c>
      <c r="W64" s="284">
        <f t="shared" si="0"/>
        <v>0</v>
      </c>
      <c r="X64" s="284">
        <f t="shared" si="1"/>
        <v>0</v>
      </c>
      <c r="Y64" s="284">
        <f t="shared" si="2"/>
        <v>0</v>
      </c>
    </row>
    <row r="65" spans="1:25" ht="12">
      <c r="A65" s="304"/>
      <c r="B65" s="304"/>
      <c r="C65" s="304"/>
      <c r="D65" s="304"/>
      <c r="E65" s="319"/>
      <c r="F65" s="319"/>
      <c r="G65" s="320"/>
      <c r="H65" s="304"/>
      <c r="I65" s="304"/>
      <c r="J65" s="307"/>
      <c r="K65" s="308"/>
      <c r="L65" s="308"/>
      <c r="M65" s="308"/>
      <c r="N65" s="308"/>
      <c r="O65" s="309"/>
      <c r="P65" s="310"/>
      <c r="Q65" s="477"/>
      <c r="R65" s="477"/>
      <c r="V65" s="284">
        <f t="shared" si="3"/>
        <v>0</v>
      </c>
      <c r="W65" s="284">
        <f t="shared" si="0"/>
        <v>0</v>
      </c>
      <c r="X65" s="284">
        <f t="shared" si="1"/>
        <v>0</v>
      </c>
      <c r="Y65" s="284">
        <f t="shared" si="2"/>
        <v>0</v>
      </c>
    </row>
    <row r="66" spans="1:25" ht="12">
      <c r="A66" s="304"/>
      <c r="B66" s="304"/>
      <c r="C66" s="304"/>
      <c r="D66" s="304"/>
      <c r="E66" s="319"/>
      <c r="F66" s="319"/>
      <c r="G66" s="320"/>
      <c r="H66" s="304"/>
      <c r="I66" s="304"/>
      <c r="J66" s="307"/>
      <c r="K66" s="308"/>
      <c r="L66" s="308"/>
      <c r="M66" s="308"/>
      <c r="N66" s="308"/>
      <c r="O66" s="309"/>
      <c r="P66" s="310"/>
      <c r="Q66" s="477"/>
      <c r="R66" s="477"/>
      <c r="V66" s="284">
        <f t="shared" si="3"/>
        <v>0</v>
      </c>
      <c r="W66" s="284">
        <f t="shared" si="0"/>
        <v>0</v>
      </c>
      <c r="X66" s="284">
        <f t="shared" si="1"/>
        <v>0</v>
      </c>
      <c r="Y66" s="284">
        <f t="shared" si="2"/>
        <v>0</v>
      </c>
    </row>
    <row r="67" spans="1:25" ht="12">
      <c r="A67" s="304"/>
      <c r="B67" s="304"/>
      <c r="C67" s="304"/>
      <c r="D67" s="304"/>
      <c r="E67" s="319"/>
      <c r="F67" s="319"/>
      <c r="G67" s="320"/>
      <c r="H67" s="304"/>
      <c r="I67" s="304"/>
      <c r="J67" s="307"/>
      <c r="K67" s="308"/>
      <c r="L67" s="308"/>
      <c r="M67" s="308"/>
      <c r="N67" s="308"/>
      <c r="O67" s="309"/>
      <c r="P67" s="310"/>
      <c r="Q67" s="477"/>
      <c r="R67" s="477"/>
      <c r="V67" s="284">
        <f t="shared" si="3"/>
        <v>0</v>
      </c>
      <c r="W67" s="284">
        <f t="shared" si="0"/>
        <v>0</v>
      </c>
      <c r="X67" s="284">
        <f t="shared" si="1"/>
        <v>0</v>
      </c>
      <c r="Y67" s="284">
        <f t="shared" si="2"/>
        <v>0</v>
      </c>
    </row>
    <row r="68" spans="1:25" ht="12">
      <c r="A68" s="304"/>
      <c r="B68" s="304"/>
      <c r="C68" s="304"/>
      <c r="D68" s="304"/>
      <c r="E68" s="319"/>
      <c r="F68" s="319"/>
      <c r="G68" s="320"/>
      <c r="H68" s="304"/>
      <c r="I68" s="304"/>
      <c r="J68" s="307"/>
      <c r="K68" s="308"/>
      <c r="L68" s="308"/>
      <c r="M68" s="308"/>
      <c r="N68" s="308"/>
      <c r="O68" s="309"/>
      <c r="P68" s="310"/>
      <c r="Q68" s="477"/>
      <c r="R68" s="477"/>
      <c r="V68" s="284">
        <f t="shared" si="3"/>
        <v>0</v>
      </c>
      <c r="W68" s="284">
        <f t="shared" si="0"/>
        <v>0</v>
      </c>
      <c r="X68" s="284">
        <f t="shared" si="1"/>
        <v>0</v>
      </c>
      <c r="Y68" s="284">
        <f t="shared" si="2"/>
        <v>0</v>
      </c>
    </row>
    <row r="69" spans="1:25" ht="12">
      <c r="A69" s="304"/>
      <c r="B69" s="304"/>
      <c r="C69" s="304"/>
      <c r="D69" s="304"/>
      <c r="E69" s="319"/>
      <c r="F69" s="319"/>
      <c r="G69" s="320"/>
      <c r="H69" s="304"/>
      <c r="I69" s="304"/>
      <c r="J69" s="307"/>
      <c r="K69" s="308"/>
      <c r="L69" s="308"/>
      <c r="M69" s="308"/>
      <c r="N69" s="308"/>
      <c r="O69" s="309"/>
      <c r="P69" s="310"/>
      <c r="Q69" s="477"/>
      <c r="R69" s="477"/>
      <c r="V69" s="284">
        <f t="shared" si="3"/>
        <v>0</v>
      </c>
      <c r="W69" s="284">
        <f t="shared" si="0"/>
        <v>0</v>
      </c>
      <c r="X69" s="284">
        <f t="shared" si="1"/>
        <v>0</v>
      </c>
      <c r="Y69" s="284">
        <f t="shared" si="2"/>
        <v>0</v>
      </c>
    </row>
    <row r="70" spans="1:25" ht="12">
      <c r="A70" s="304"/>
      <c r="B70" s="304"/>
      <c r="C70" s="304"/>
      <c r="D70" s="304"/>
      <c r="E70" s="319"/>
      <c r="F70" s="319"/>
      <c r="G70" s="320"/>
      <c r="H70" s="304"/>
      <c r="I70" s="304"/>
      <c r="J70" s="307"/>
      <c r="K70" s="308"/>
      <c r="L70" s="308"/>
      <c r="M70" s="308"/>
      <c r="N70" s="308"/>
      <c r="O70" s="309"/>
      <c r="P70" s="310"/>
      <c r="Q70" s="477"/>
      <c r="R70" s="477"/>
      <c r="V70" s="284">
        <f t="shared" si="3"/>
        <v>0</v>
      </c>
      <c r="W70" s="284">
        <f t="shared" si="0"/>
        <v>0</v>
      </c>
      <c r="X70" s="284">
        <f t="shared" si="1"/>
        <v>0</v>
      </c>
      <c r="Y70" s="284">
        <f t="shared" si="2"/>
        <v>0</v>
      </c>
    </row>
    <row r="71" spans="1:25" ht="12">
      <c r="A71" s="304"/>
      <c r="B71" s="304"/>
      <c r="C71" s="304"/>
      <c r="D71" s="304"/>
      <c r="E71" s="319"/>
      <c r="F71" s="319"/>
      <c r="G71" s="320"/>
      <c r="H71" s="304"/>
      <c r="I71" s="304"/>
      <c r="J71" s="307"/>
      <c r="K71" s="308"/>
      <c r="L71" s="308"/>
      <c r="M71" s="308"/>
      <c r="N71" s="308"/>
      <c r="O71" s="309"/>
      <c r="P71" s="310"/>
      <c r="Q71" s="477"/>
      <c r="R71" s="477"/>
      <c r="V71" s="284">
        <f t="shared" si="3"/>
        <v>0</v>
      </c>
      <c r="W71" s="284">
        <f t="shared" si="0"/>
        <v>0</v>
      </c>
      <c r="X71" s="284">
        <f t="shared" si="1"/>
        <v>0</v>
      </c>
      <c r="Y71" s="284">
        <f t="shared" si="2"/>
        <v>0</v>
      </c>
    </row>
    <row r="72" spans="1:25" ht="12">
      <c r="A72" s="304"/>
      <c r="B72" s="304"/>
      <c r="C72" s="304"/>
      <c r="D72" s="304"/>
      <c r="E72" s="319"/>
      <c r="F72" s="319"/>
      <c r="G72" s="320"/>
      <c r="H72" s="304"/>
      <c r="I72" s="304"/>
      <c r="J72" s="307"/>
      <c r="K72" s="308"/>
      <c r="L72" s="308"/>
      <c r="M72" s="308"/>
      <c r="N72" s="308"/>
      <c r="O72" s="309"/>
      <c r="P72" s="310"/>
      <c r="Q72" s="477"/>
      <c r="R72" s="477"/>
      <c r="V72" s="284">
        <f t="shared" si="3"/>
        <v>0</v>
      </c>
      <c r="W72" s="284">
        <f t="shared" si="0"/>
        <v>0</v>
      </c>
      <c r="X72" s="284">
        <f t="shared" si="1"/>
        <v>0</v>
      </c>
      <c r="Y72" s="284">
        <f t="shared" si="2"/>
        <v>0</v>
      </c>
    </row>
    <row r="73" spans="1:25" ht="12">
      <c r="A73" s="304"/>
      <c r="B73" s="304"/>
      <c r="C73" s="304"/>
      <c r="D73" s="304"/>
      <c r="E73" s="319"/>
      <c r="F73" s="319"/>
      <c r="G73" s="320"/>
      <c r="H73" s="304"/>
      <c r="I73" s="304"/>
      <c r="J73" s="307"/>
      <c r="K73" s="308"/>
      <c r="L73" s="308"/>
      <c r="M73" s="308"/>
      <c r="N73" s="308"/>
      <c r="O73" s="309"/>
      <c r="P73" s="310"/>
      <c r="Q73" s="477"/>
      <c r="R73" s="477"/>
      <c r="V73" s="284">
        <f t="shared" si="3"/>
        <v>0</v>
      </c>
      <c r="W73" s="284">
        <f t="shared" si="0"/>
        <v>0</v>
      </c>
      <c r="X73" s="284">
        <f t="shared" si="1"/>
        <v>0</v>
      </c>
      <c r="Y73" s="284">
        <f t="shared" si="2"/>
        <v>0</v>
      </c>
    </row>
    <row r="74" spans="1:25" ht="12">
      <c r="A74" s="304"/>
      <c r="B74" s="304"/>
      <c r="C74" s="304"/>
      <c r="D74" s="304"/>
      <c r="E74" s="319"/>
      <c r="F74" s="319"/>
      <c r="G74" s="320"/>
      <c r="H74" s="304"/>
      <c r="I74" s="304"/>
      <c r="J74" s="307"/>
      <c r="K74" s="308"/>
      <c r="L74" s="308"/>
      <c r="M74" s="308"/>
      <c r="N74" s="308"/>
      <c r="O74" s="309"/>
      <c r="P74" s="310"/>
      <c r="Q74" s="477"/>
      <c r="R74" s="477"/>
      <c r="V74" s="284">
        <f t="shared" si="3"/>
        <v>0</v>
      </c>
      <c r="W74" s="284">
        <f t="shared" si="0"/>
        <v>0</v>
      </c>
      <c r="X74" s="284">
        <f t="shared" si="1"/>
        <v>0</v>
      </c>
      <c r="Y74" s="284">
        <f t="shared" si="2"/>
        <v>0</v>
      </c>
    </row>
    <row r="75" spans="1:25" ht="12">
      <c r="A75" s="304"/>
      <c r="B75" s="304"/>
      <c r="C75" s="304"/>
      <c r="D75" s="304"/>
      <c r="E75" s="319"/>
      <c r="F75" s="319"/>
      <c r="G75" s="320"/>
      <c r="H75" s="304"/>
      <c r="I75" s="304"/>
      <c r="J75" s="307"/>
      <c r="K75" s="308"/>
      <c r="L75" s="308"/>
      <c r="M75" s="308"/>
      <c r="N75" s="308"/>
      <c r="O75" s="309"/>
      <c r="P75" s="310"/>
      <c r="Q75" s="477"/>
      <c r="R75" s="477"/>
      <c r="V75" s="284">
        <f t="shared" si="3"/>
        <v>0</v>
      </c>
      <c r="W75" s="284">
        <f t="shared" si="0"/>
        <v>0</v>
      </c>
      <c r="X75" s="284">
        <f t="shared" si="1"/>
        <v>0</v>
      </c>
      <c r="Y75" s="284">
        <f t="shared" si="2"/>
        <v>0</v>
      </c>
    </row>
    <row r="76" spans="1:25" ht="12">
      <c r="A76" s="304"/>
      <c r="B76" s="304"/>
      <c r="C76" s="304"/>
      <c r="D76" s="304"/>
      <c r="E76" s="319"/>
      <c r="F76" s="319"/>
      <c r="G76" s="320"/>
      <c r="H76" s="304"/>
      <c r="I76" s="304"/>
      <c r="J76" s="307"/>
      <c r="K76" s="308"/>
      <c r="L76" s="308"/>
      <c r="M76" s="308"/>
      <c r="N76" s="308"/>
      <c r="O76" s="309"/>
      <c r="P76" s="310"/>
      <c r="Q76" s="477"/>
      <c r="R76" s="477"/>
      <c r="V76" s="284">
        <f t="shared" si="3"/>
        <v>0</v>
      </c>
      <c r="W76" s="284">
        <f aca="true" t="shared" si="4" ref="W76:W101">FLOOR(IF($O76="Ne",IF($I76&lt;&gt;"",$M76+P76,0),0),1)</f>
        <v>0</v>
      </c>
      <c r="X76" s="284">
        <f aca="true" t="shared" si="5" ref="X76:X101">FLOOR(IF($O76="Ano",IF($H76&lt;&gt;"",$M76+P76,0),0),1)</f>
        <v>0</v>
      </c>
      <c r="Y76" s="284">
        <f aca="true" t="shared" si="6" ref="Y76:Y101">FLOOR(IF($O76="Ne",IF($H76&lt;&gt;"",$M76+P76,0),0),1)</f>
        <v>0</v>
      </c>
    </row>
    <row r="77" spans="1:25" ht="12">
      <c r="A77" s="304"/>
      <c r="B77" s="304"/>
      <c r="C77" s="304"/>
      <c r="D77" s="304"/>
      <c r="E77" s="319"/>
      <c r="F77" s="319"/>
      <c r="G77" s="320"/>
      <c r="H77" s="304"/>
      <c r="I77" s="304"/>
      <c r="J77" s="307"/>
      <c r="K77" s="308"/>
      <c r="L77" s="308"/>
      <c r="M77" s="308"/>
      <c r="N77" s="308"/>
      <c r="O77" s="309"/>
      <c r="P77" s="310"/>
      <c r="Q77" s="477"/>
      <c r="R77" s="477"/>
      <c r="V77" s="284">
        <f aca="true" t="shared" si="7" ref="V77:V101">FLOOR(IF($O77="Ano",IF($I77&lt;&gt;"",$M77+P77,0),0),1)</f>
        <v>0</v>
      </c>
      <c r="W77" s="284">
        <f t="shared" si="4"/>
        <v>0</v>
      </c>
      <c r="X77" s="284">
        <f t="shared" si="5"/>
        <v>0</v>
      </c>
      <c r="Y77" s="284">
        <f t="shared" si="6"/>
        <v>0</v>
      </c>
    </row>
    <row r="78" spans="1:25" ht="12">
      <c r="A78" s="304"/>
      <c r="B78" s="304"/>
      <c r="C78" s="304"/>
      <c r="D78" s="304"/>
      <c r="E78" s="319"/>
      <c r="F78" s="319"/>
      <c r="G78" s="320"/>
      <c r="H78" s="304"/>
      <c r="I78" s="304"/>
      <c r="J78" s="307"/>
      <c r="K78" s="308"/>
      <c r="L78" s="308"/>
      <c r="M78" s="308"/>
      <c r="N78" s="308"/>
      <c r="O78" s="309"/>
      <c r="P78" s="310"/>
      <c r="Q78" s="477"/>
      <c r="R78" s="477"/>
      <c r="V78" s="284">
        <f t="shared" si="7"/>
        <v>0</v>
      </c>
      <c r="W78" s="284">
        <f t="shared" si="4"/>
        <v>0</v>
      </c>
      <c r="X78" s="284">
        <f t="shared" si="5"/>
        <v>0</v>
      </c>
      <c r="Y78" s="284">
        <f t="shared" si="6"/>
        <v>0</v>
      </c>
    </row>
    <row r="79" spans="1:25" ht="12">
      <c r="A79" s="304"/>
      <c r="B79" s="304"/>
      <c r="C79" s="304"/>
      <c r="D79" s="304"/>
      <c r="E79" s="319"/>
      <c r="F79" s="319"/>
      <c r="G79" s="320"/>
      <c r="H79" s="304"/>
      <c r="I79" s="304"/>
      <c r="J79" s="307"/>
      <c r="K79" s="308"/>
      <c r="L79" s="308"/>
      <c r="M79" s="308"/>
      <c r="N79" s="308"/>
      <c r="O79" s="309"/>
      <c r="P79" s="310"/>
      <c r="Q79" s="477"/>
      <c r="R79" s="477"/>
      <c r="V79" s="284">
        <f t="shared" si="7"/>
        <v>0</v>
      </c>
      <c r="W79" s="284">
        <f t="shared" si="4"/>
        <v>0</v>
      </c>
      <c r="X79" s="284">
        <f t="shared" si="5"/>
        <v>0</v>
      </c>
      <c r="Y79" s="284">
        <f t="shared" si="6"/>
        <v>0</v>
      </c>
    </row>
    <row r="80" spans="1:25" ht="12">
      <c r="A80" s="304"/>
      <c r="B80" s="304"/>
      <c r="C80" s="304"/>
      <c r="D80" s="304"/>
      <c r="E80" s="319"/>
      <c r="F80" s="319"/>
      <c r="G80" s="320"/>
      <c r="H80" s="304"/>
      <c r="I80" s="304"/>
      <c r="J80" s="307"/>
      <c r="K80" s="308"/>
      <c r="L80" s="308"/>
      <c r="M80" s="308"/>
      <c r="N80" s="308"/>
      <c r="O80" s="309"/>
      <c r="P80" s="310"/>
      <c r="Q80" s="477"/>
      <c r="R80" s="477"/>
      <c r="V80" s="284">
        <f t="shared" si="7"/>
        <v>0</v>
      </c>
      <c r="W80" s="284">
        <f t="shared" si="4"/>
        <v>0</v>
      </c>
      <c r="X80" s="284">
        <f t="shared" si="5"/>
        <v>0</v>
      </c>
      <c r="Y80" s="284">
        <f t="shared" si="6"/>
        <v>0</v>
      </c>
    </row>
    <row r="81" spans="1:25" ht="12">
      <c r="A81" s="304"/>
      <c r="B81" s="304"/>
      <c r="C81" s="304"/>
      <c r="D81" s="304"/>
      <c r="E81" s="319"/>
      <c r="F81" s="319"/>
      <c r="G81" s="320"/>
      <c r="H81" s="304"/>
      <c r="I81" s="304"/>
      <c r="J81" s="307"/>
      <c r="K81" s="308"/>
      <c r="L81" s="308"/>
      <c r="M81" s="308"/>
      <c r="N81" s="308"/>
      <c r="O81" s="309"/>
      <c r="P81" s="310"/>
      <c r="Q81" s="477"/>
      <c r="R81" s="477"/>
      <c r="V81" s="284">
        <f t="shared" si="7"/>
        <v>0</v>
      </c>
      <c r="W81" s="284">
        <f t="shared" si="4"/>
        <v>0</v>
      </c>
      <c r="X81" s="284">
        <f t="shared" si="5"/>
        <v>0</v>
      </c>
      <c r="Y81" s="284">
        <f t="shared" si="6"/>
        <v>0</v>
      </c>
    </row>
    <row r="82" spans="1:25" ht="12">
      <c r="A82" s="304"/>
      <c r="B82" s="304"/>
      <c r="C82" s="304"/>
      <c r="D82" s="304"/>
      <c r="E82" s="319"/>
      <c r="F82" s="319"/>
      <c r="G82" s="320"/>
      <c r="H82" s="304"/>
      <c r="I82" s="304"/>
      <c r="J82" s="307"/>
      <c r="K82" s="308"/>
      <c r="L82" s="308"/>
      <c r="M82" s="308"/>
      <c r="N82" s="308"/>
      <c r="O82" s="309"/>
      <c r="P82" s="310"/>
      <c r="Q82" s="477"/>
      <c r="R82" s="477"/>
      <c r="V82" s="284">
        <f t="shared" si="7"/>
        <v>0</v>
      </c>
      <c r="W82" s="284">
        <f t="shared" si="4"/>
        <v>0</v>
      </c>
      <c r="X82" s="284">
        <f t="shared" si="5"/>
        <v>0</v>
      </c>
      <c r="Y82" s="284">
        <f t="shared" si="6"/>
        <v>0</v>
      </c>
    </row>
    <row r="83" spans="1:25" ht="12">
      <c r="A83" s="304"/>
      <c r="B83" s="304"/>
      <c r="C83" s="304"/>
      <c r="D83" s="304"/>
      <c r="E83" s="319"/>
      <c r="F83" s="319"/>
      <c r="G83" s="320"/>
      <c r="H83" s="304"/>
      <c r="I83" s="304"/>
      <c r="J83" s="307"/>
      <c r="K83" s="308"/>
      <c r="L83" s="308"/>
      <c r="M83" s="308"/>
      <c r="N83" s="308"/>
      <c r="O83" s="309"/>
      <c r="P83" s="310"/>
      <c r="Q83" s="477"/>
      <c r="R83" s="477"/>
      <c r="V83" s="284">
        <f t="shared" si="7"/>
        <v>0</v>
      </c>
      <c r="W83" s="284">
        <f t="shared" si="4"/>
        <v>0</v>
      </c>
      <c r="X83" s="284">
        <f t="shared" si="5"/>
        <v>0</v>
      </c>
      <c r="Y83" s="284">
        <f t="shared" si="6"/>
        <v>0</v>
      </c>
    </row>
    <row r="84" spans="1:25" ht="12">
      <c r="A84" s="304"/>
      <c r="B84" s="304"/>
      <c r="C84" s="304"/>
      <c r="D84" s="304"/>
      <c r="E84" s="319"/>
      <c r="F84" s="319"/>
      <c r="G84" s="320"/>
      <c r="H84" s="304"/>
      <c r="I84" s="304"/>
      <c r="J84" s="307"/>
      <c r="K84" s="308"/>
      <c r="L84" s="308"/>
      <c r="M84" s="308"/>
      <c r="N84" s="308"/>
      <c r="O84" s="309"/>
      <c r="P84" s="310"/>
      <c r="Q84" s="477"/>
      <c r="R84" s="477"/>
      <c r="V84" s="284">
        <f t="shared" si="7"/>
        <v>0</v>
      </c>
      <c r="W84" s="284">
        <f t="shared" si="4"/>
        <v>0</v>
      </c>
      <c r="X84" s="284">
        <f t="shared" si="5"/>
        <v>0</v>
      </c>
      <c r="Y84" s="284">
        <f t="shared" si="6"/>
        <v>0</v>
      </c>
    </row>
    <row r="85" spans="1:25" ht="12">
      <c r="A85" s="304"/>
      <c r="B85" s="304"/>
      <c r="C85" s="304"/>
      <c r="D85" s="304"/>
      <c r="E85" s="319"/>
      <c r="F85" s="319"/>
      <c r="G85" s="320"/>
      <c r="H85" s="304"/>
      <c r="I85" s="304"/>
      <c r="J85" s="307"/>
      <c r="K85" s="308"/>
      <c r="L85" s="308"/>
      <c r="M85" s="308"/>
      <c r="N85" s="308"/>
      <c r="O85" s="309"/>
      <c r="P85" s="310"/>
      <c r="Q85" s="477"/>
      <c r="R85" s="477"/>
      <c r="V85" s="284">
        <f t="shared" si="7"/>
        <v>0</v>
      </c>
      <c r="W85" s="284">
        <f t="shared" si="4"/>
        <v>0</v>
      </c>
      <c r="X85" s="284">
        <f t="shared" si="5"/>
        <v>0</v>
      </c>
      <c r="Y85" s="284">
        <f t="shared" si="6"/>
        <v>0</v>
      </c>
    </row>
    <row r="86" spans="1:25" ht="12">
      <c r="A86" s="304"/>
      <c r="B86" s="304"/>
      <c r="C86" s="304"/>
      <c r="D86" s="304"/>
      <c r="E86" s="319"/>
      <c r="F86" s="319"/>
      <c r="G86" s="320"/>
      <c r="H86" s="304"/>
      <c r="I86" s="304"/>
      <c r="J86" s="307"/>
      <c r="K86" s="308"/>
      <c r="L86" s="308"/>
      <c r="M86" s="308"/>
      <c r="N86" s="308"/>
      <c r="O86" s="309"/>
      <c r="P86" s="310"/>
      <c r="Q86" s="477"/>
      <c r="R86" s="477"/>
      <c r="V86" s="284">
        <f t="shared" si="7"/>
        <v>0</v>
      </c>
      <c r="W86" s="284">
        <f t="shared" si="4"/>
        <v>0</v>
      </c>
      <c r="X86" s="284">
        <f t="shared" si="5"/>
        <v>0</v>
      </c>
      <c r="Y86" s="284">
        <f t="shared" si="6"/>
        <v>0</v>
      </c>
    </row>
    <row r="87" spans="1:25" ht="12">
      <c r="A87" s="304"/>
      <c r="B87" s="304"/>
      <c r="C87" s="304"/>
      <c r="D87" s="304"/>
      <c r="E87" s="319"/>
      <c r="F87" s="319"/>
      <c r="G87" s="320"/>
      <c r="H87" s="304"/>
      <c r="I87" s="304"/>
      <c r="J87" s="307"/>
      <c r="K87" s="308"/>
      <c r="L87" s="308"/>
      <c r="M87" s="308"/>
      <c r="N87" s="308"/>
      <c r="O87" s="309"/>
      <c r="P87" s="310"/>
      <c r="Q87" s="477"/>
      <c r="R87" s="477"/>
      <c r="V87" s="284">
        <f t="shared" si="7"/>
        <v>0</v>
      </c>
      <c r="W87" s="284">
        <f t="shared" si="4"/>
        <v>0</v>
      </c>
      <c r="X87" s="284">
        <f t="shared" si="5"/>
        <v>0</v>
      </c>
      <c r="Y87" s="284">
        <f t="shared" si="6"/>
        <v>0</v>
      </c>
    </row>
    <row r="88" spans="1:25" ht="12">
      <c r="A88" s="304"/>
      <c r="B88" s="304"/>
      <c r="C88" s="304"/>
      <c r="D88" s="304"/>
      <c r="E88" s="319"/>
      <c r="F88" s="319"/>
      <c r="G88" s="320"/>
      <c r="H88" s="304"/>
      <c r="I88" s="304"/>
      <c r="J88" s="307"/>
      <c r="K88" s="308"/>
      <c r="L88" s="308"/>
      <c r="M88" s="308"/>
      <c r="N88" s="308"/>
      <c r="O88" s="309"/>
      <c r="P88" s="310"/>
      <c r="Q88" s="477"/>
      <c r="R88" s="477"/>
      <c r="V88" s="284">
        <f t="shared" si="7"/>
        <v>0</v>
      </c>
      <c r="W88" s="284">
        <f t="shared" si="4"/>
        <v>0</v>
      </c>
      <c r="X88" s="284">
        <f t="shared" si="5"/>
        <v>0</v>
      </c>
      <c r="Y88" s="284">
        <f t="shared" si="6"/>
        <v>0</v>
      </c>
    </row>
    <row r="89" spans="1:25" ht="12">
      <c r="A89" s="304"/>
      <c r="B89" s="304"/>
      <c r="C89" s="304"/>
      <c r="D89" s="304"/>
      <c r="E89" s="319"/>
      <c r="F89" s="319"/>
      <c r="G89" s="320"/>
      <c r="H89" s="304"/>
      <c r="I89" s="304"/>
      <c r="J89" s="307"/>
      <c r="K89" s="308"/>
      <c r="L89" s="308"/>
      <c r="M89" s="308"/>
      <c r="N89" s="308"/>
      <c r="O89" s="309"/>
      <c r="P89" s="310"/>
      <c r="Q89" s="477"/>
      <c r="R89" s="477"/>
      <c r="V89" s="284">
        <f t="shared" si="7"/>
        <v>0</v>
      </c>
      <c r="W89" s="284">
        <f t="shared" si="4"/>
        <v>0</v>
      </c>
      <c r="X89" s="284">
        <f t="shared" si="5"/>
        <v>0</v>
      </c>
      <c r="Y89" s="284">
        <f t="shared" si="6"/>
        <v>0</v>
      </c>
    </row>
    <row r="90" spans="1:25" ht="12">
      <c r="A90" s="304"/>
      <c r="B90" s="304"/>
      <c r="C90" s="304"/>
      <c r="D90" s="304"/>
      <c r="E90" s="319"/>
      <c r="F90" s="319"/>
      <c r="G90" s="320"/>
      <c r="H90" s="304"/>
      <c r="I90" s="304"/>
      <c r="J90" s="307"/>
      <c r="K90" s="308"/>
      <c r="L90" s="308"/>
      <c r="M90" s="308"/>
      <c r="N90" s="308"/>
      <c r="O90" s="309"/>
      <c r="P90" s="310"/>
      <c r="Q90" s="477"/>
      <c r="R90" s="477"/>
      <c r="V90" s="284">
        <f t="shared" si="7"/>
        <v>0</v>
      </c>
      <c r="W90" s="284">
        <f t="shared" si="4"/>
        <v>0</v>
      </c>
      <c r="X90" s="284">
        <f t="shared" si="5"/>
        <v>0</v>
      </c>
      <c r="Y90" s="284">
        <f t="shared" si="6"/>
        <v>0</v>
      </c>
    </row>
    <row r="91" spans="1:25" ht="12">
      <c r="A91" s="304"/>
      <c r="B91" s="304"/>
      <c r="C91" s="304"/>
      <c r="D91" s="304"/>
      <c r="E91" s="319"/>
      <c r="F91" s="319"/>
      <c r="G91" s="320"/>
      <c r="H91" s="304"/>
      <c r="I91" s="304"/>
      <c r="J91" s="307"/>
      <c r="K91" s="308"/>
      <c r="L91" s="308"/>
      <c r="M91" s="308"/>
      <c r="N91" s="308"/>
      <c r="O91" s="309"/>
      <c r="P91" s="310"/>
      <c r="Q91" s="477"/>
      <c r="R91" s="477"/>
      <c r="V91" s="284">
        <f t="shared" si="7"/>
        <v>0</v>
      </c>
      <c r="W91" s="284">
        <f t="shared" si="4"/>
        <v>0</v>
      </c>
      <c r="X91" s="284">
        <f t="shared" si="5"/>
        <v>0</v>
      </c>
      <c r="Y91" s="284">
        <f t="shared" si="6"/>
        <v>0</v>
      </c>
    </row>
    <row r="92" spans="1:25" ht="12">
      <c r="A92" s="304"/>
      <c r="B92" s="304"/>
      <c r="C92" s="304"/>
      <c r="D92" s="304"/>
      <c r="E92" s="319"/>
      <c r="F92" s="319"/>
      <c r="G92" s="320"/>
      <c r="H92" s="304"/>
      <c r="I92" s="304"/>
      <c r="J92" s="307"/>
      <c r="K92" s="308"/>
      <c r="L92" s="308"/>
      <c r="M92" s="308"/>
      <c r="N92" s="308"/>
      <c r="O92" s="309"/>
      <c r="P92" s="310"/>
      <c r="Q92" s="477"/>
      <c r="R92" s="477"/>
      <c r="V92" s="284">
        <f t="shared" si="7"/>
        <v>0</v>
      </c>
      <c r="W92" s="284">
        <f t="shared" si="4"/>
        <v>0</v>
      </c>
      <c r="X92" s="284">
        <f t="shared" si="5"/>
        <v>0</v>
      </c>
      <c r="Y92" s="284">
        <f t="shared" si="6"/>
        <v>0</v>
      </c>
    </row>
    <row r="93" spans="1:25" ht="12">
      <c r="A93" s="304"/>
      <c r="B93" s="304"/>
      <c r="C93" s="304"/>
      <c r="D93" s="304"/>
      <c r="E93" s="319"/>
      <c r="F93" s="319"/>
      <c r="G93" s="320"/>
      <c r="H93" s="304"/>
      <c r="I93" s="304"/>
      <c r="J93" s="307"/>
      <c r="K93" s="308"/>
      <c r="L93" s="308"/>
      <c r="M93" s="308"/>
      <c r="N93" s="308"/>
      <c r="O93" s="309"/>
      <c r="P93" s="310"/>
      <c r="Q93" s="477"/>
      <c r="R93" s="477"/>
      <c r="V93" s="284">
        <f t="shared" si="7"/>
        <v>0</v>
      </c>
      <c r="W93" s="284">
        <f t="shared" si="4"/>
        <v>0</v>
      </c>
      <c r="X93" s="284">
        <f t="shared" si="5"/>
        <v>0</v>
      </c>
      <c r="Y93" s="284">
        <f t="shared" si="6"/>
        <v>0</v>
      </c>
    </row>
    <row r="94" spans="1:25" ht="12">
      <c r="A94" s="304"/>
      <c r="B94" s="304"/>
      <c r="C94" s="304"/>
      <c r="D94" s="304"/>
      <c r="E94" s="319"/>
      <c r="F94" s="319"/>
      <c r="G94" s="320"/>
      <c r="H94" s="304"/>
      <c r="I94" s="304"/>
      <c r="J94" s="307"/>
      <c r="K94" s="308"/>
      <c r="L94" s="308"/>
      <c r="M94" s="308"/>
      <c r="N94" s="308"/>
      <c r="O94" s="309"/>
      <c r="P94" s="310"/>
      <c r="Q94" s="477"/>
      <c r="R94" s="477"/>
      <c r="V94" s="284">
        <f t="shared" si="7"/>
        <v>0</v>
      </c>
      <c r="W94" s="284">
        <f t="shared" si="4"/>
        <v>0</v>
      </c>
      <c r="X94" s="284">
        <f t="shared" si="5"/>
        <v>0</v>
      </c>
      <c r="Y94" s="284">
        <f t="shared" si="6"/>
        <v>0</v>
      </c>
    </row>
    <row r="95" spans="1:25" ht="12">
      <c r="A95" s="304"/>
      <c r="B95" s="304"/>
      <c r="C95" s="304"/>
      <c r="D95" s="304"/>
      <c r="E95" s="319"/>
      <c r="F95" s="319"/>
      <c r="G95" s="320"/>
      <c r="H95" s="304"/>
      <c r="I95" s="304"/>
      <c r="J95" s="307"/>
      <c r="K95" s="308"/>
      <c r="L95" s="308"/>
      <c r="M95" s="308"/>
      <c r="N95" s="308"/>
      <c r="O95" s="309"/>
      <c r="P95" s="310"/>
      <c r="Q95" s="477"/>
      <c r="R95" s="477"/>
      <c r="V95" s="284">
        <f t="shared" si="7"/>
        <v>0</v>
      </c>
      <c r="W95" s="284">
        <f t="shared" si="4"/>
        <v>0</v>
      </c>
      <c r="X95" s="284">
        <f t="shared" si="5"/>
        <v>0</v>
      </c>
      <c r="Y95" s="284">
        <f t="shared" si="6"/>
        <v>0</v>
      </c>
    </row>
    <row r="96" spans="1:25" ht="12">
      <c r="A96" s="304"/>
      <c r="B96" s="304"/>
      <c r="C96" s="304"/>
      <c r="D96" s="304"/>
      <c r="E96" s="319"/>
      <c r="F96" s="319"/>
      <c r="G96" s="320"/>
      <c r="H96" s="304"/>
      <c r="I96" s="304"/>
      <c r="J96" s="307"/>
      <c r="K96" s="308"/>
      <c r="L96" s="308"/>
      <c r="M96" s="308"/>
      <c r="N96" s="308"/>
      <c r="O96" s="309"/>
      <c r="P96" s="310"/>
      <c r="Q96" s="477"/>
      <c r="R96" s="477"/>
      <c r="V96" s="284">
        <f t="shared" si="7"/>
        <v>0</v>
      </c>
      <c r="W96" s="284">
        <f t="shared" si="4"/>
        <v>0</v>
      </c>
      <c r="X96" s="284">
        <f t="shared" si="5"/>
        <v>0</v>
      </c>
      <c r="Y96" s="284">
        <f t="shared" si="6"/>
        <v>0</v>
      </c>
    </row>
    <row r="97" spans="1:25" ht="12">
      <c r="A97" s="304"/>
      <c r="B97" s="304"/>
      <c r="C97" s="304"/>
      <c r="D97" s="304"/>
      <c r="E97" s="319"/>
      <c r="F97" s="319"/>
      <c r="G97" s="320"/>
      <c r="H97" s="304"/>
      <c r="I97" s="304"/>
      <c r="J97" s="307"/>
      <c r="K97" s="308"/>
      <c r="L97" s="308"/>
      <c r="M97" s="308"/>
      <c r="N97" s="308"/>
      <c r="O97" s="309"/>
      <c r="P97" s="310"/>
      <c r="Q97" s="477"/>
      <c r="R97" s="477"/>
      <c r="V97" s="284">
        <f t="shared" si="7"/>
        <v>0</v>
      </c>
      <c r="W97" s="284">
        <f t="shared" si="4"/>
        <v>0</v>
      </c>
      <c r="X97" s="284">
        <f t="shared" si="5"/>
        <v>0</v>
      </c>
      <c r="Y97" s="284">
        <f t="shared" si="6"/>
        <v>0</v>
      </c>
    </row>
    <row r="98" spans="1:25" ht="12">
      <c r="A98" s="304"/>
      <c r="B98" s="304"/>
      <c r="C98" s="304"/>
      <c r="D98" s="304"/>
      <c r="E98" s="319"/>
      <c r="F98" s="319"/>
      <c r="G98" s="320"/>
      <c r="H98" s="304"/>
      <c r="I98" s="304"/>
      <c r="J98" s="307"/>
      <c r="K98" s="308"/>
      <c r="L98" s="308"/>
      <c r="M98" s="308"/>
      <c r="N98" s="308"/>
      <c r="O98" s="309"/>
      <c r="P98" s="310"/>
      <c r="Q98" s="477"/>
      <c r="R98" s="477"/>
      <c r="V98" s="284">
        <f t="shared" si="7"/>
        <v>0</v>
      </c>
      <c r="W98" s="284">
        <f t="shared" si="4"/>
        <v>0</v>
      </c>
      <c r="X98" s="284">
        <f t="shared" si="5"/>
        <v>0</v>
      </c>
      <c r="Y98" s="284">
        <f t="shared" si="6"/>
        <v>0</v>
      </c>
    </row>
    <row r="99" spans="1:25" ht="12">
      <c r="A99" s="304"/>
      <c r="B99" s="304"/>
      <c r="C99" s="304"/>
      <c r="D99" s="304"/>
      <c r="E99" s="319"/>
      <c r="F99" s="319"/>
      <c r="G99" s="320"/>
      <c r="H99" s="304"/>
      <c r="I99" s="304"/>
      <c r="J99" s="307"/>
      <c r="K99" s="308"/>
      <c r="L99" s="308"/>
      <c r="M99" s="308"/>
      <c r="N99" s="308"/>
      <c r="O99" s="309"/>
      <c r="P99" s="310"/>
      <c r="Q99" s="477"/>
      <c r="R99" s="477"/>
      <c r="V99" s="284">
        <f t="shared" si="7"/>
        <v>0</v>
      </c>
      <c r="W99" s="284">
        <f t="shared" si="4"/>
        <v>0</v>
      </c>
      <c r="X99" s="284">
        <f t="shared" si="5"/>
        <v>0</v>
      </c>
      <c r="Y99" s="284">
        <f t="shared" si="6"/>
        <v>0</v>
      </c>
    </row>
    <row r="100" spans="1:25" ht="12">
      <c r="A100" s="304"/>
      <c r="B100" s="304"/>
      <c r="C100" s="304"/>
      <c r="D100" s="304"/>
      <c r="E100" s="319"/>
      <c r="F100" s="319"/>
      <c r="G100" s="320"/>
      <c r="H100" s="304"/>
      <c r="I100" s="304"/>
      <c r="J100" s="307"/>
      <c r="K100" s="308"/>
      <c r="L100" s="308"/>
      <c r="M100" s="308"/>
      <c r="N100" s="308"/>
      <c r="O100" s="309"/>
      <c r="P100" s="310"/>
      <c r="Q100" s="477"/>
      <c r="R100" s="477"/>
      <c r="V100" s="284">
        <f t="shared" si="7"/>
        <v>0</v>
      </c>
      <c r="W100" s="284">
        <f t="shared" si="4"/>
        <v>0</v>
      </c>
      <c r="X100" s="284">
        <f t="shared" si="5"/>
        <v>0</v>
      </c>
      <c r="Y100" s="284">
        <f t="shared" si="6"/>
        <v>0</v>
      </c>
    </row>
    <row r="101" spans="1:25" ht="12">
      <c r="A101" s="304"/>
      <c r="B101" s="304"/>
      <c r="C101" s="304"/>
      <c r="D101" s="304"/>
      <c r="E101" s="319"/>
      <c r="F101" s="319"/>
      <c r="G101" s="320"/>
      <c r="H101" s="304"/>
      <c r="I101" s="304"/>
      <c r="J101" s="307"/>
      <c r="K101" s="308"/>
      <c r="L101" s="308"/>
      <c r="M101" s="308"/>
      <c r="N101" s="308"/>
      <c r="O101" s="309"/>
      <c r="P101" s="310"/>
      <c r="Q101" s="477"/>
      <c r="R101" s="477"/>
      <c r="V101" s="284">
        <f t="shared" si="7"/>
        <v>0</v>
      </c>
      <c r="W101" s="284">
        <f t="shared" si="4"/>
        <v>0</v>
      </c>
      <c r="X101" s="284">
        <f t="shared" si="5"/>
        <v>0</v>
      </c>
      <c r="Y101" s="284">
        <f t="shared" si="6"/>
        <v>0</v>
      </c>
    </row>
    <row r="102" spans="9:25" ht="3.75" customHeight="1">
      <c r="I102" s="293"/>
      <c r="P102" s="298"/>
      <c r="Q102" s="294"/>
      <c r="R102" s="295"/>
      <c r="V102" s="284"/>
      <c r="W102" s="284"/>
      <c r="X102" s="284"/>
      <c r="Y102" s="284"/>
    </row>
    <row r="103" spans="16:25" ht="9.75">
      <c r="P103" s="299">
        <f>SUM(P11:P102)</f>
        <v>-10000</v>
      </c>
      <c r="Q103" s="296"/>
      <c r="R103" s="296"/>
      <c r="V103" s="284">
        <f>SUM(V11:V101)</f>
        <v>10001</v>
      </c>
      <c r="W103" s="284">
        <f>SUM(W11:W101)</f>
        <v>0</v>
      </c>
      <c r="X103" s="284">
        <f>SUM(X11:X101)</f>
        <v>10000</v>
      </c>
      <c r="Y103" s="284">
        <f>SUM(Y11:Y101)</f>
        <v>0</v>
      </c>
    </row>
    <row r="104" spans="16:18" ht="9.75">
      <c r="P104" s="297"/>
      <c r="Q104" s="297"/>
      <c r="R104" s="297"/>
    </row>
    <row r="105" spans="20:22" ht="9.75">
      <c r="T105" s="182"/>
      <c r="U105" s="182"/>
      <c r="V105" s="182"/>
    </row>
    <row r="106" spans="20:22" ht="9.75">
      <c r="T106" s="182"/>
      <c r="U106" s="182"/>
      <c r="V106" s="182"/>
    </row>
    <row r="107" spans="17:22" ht="9.75">
      <c r="Q107" s="183"/>
      <c r="R107" s="183"/>
      <c r="S107" s="183"/>
      <c r="T107" s="182"/>
      <c r="U107" s="182"/>
      <c r="V107" s="182"/>
    </row>
    <row r="108" spans="5:22" ht="12" customHeight="1">
      <c r="E108" s="507" t="s">
        <v>260</v>
      </c>
      <c r="F108" s="508"/>
      <c r="G108" s="508"/>
      <c r="H108" s="508"/>
      <c r="I108" s="508"/>
      <c r="J108" s="508"/>
      <c r="K108" s="509"/>
      <c r="L108" s="327"/>
      <c r="M108" s="327">
        <f>V103</f>
        <v>10001</v>
      </c>
      <c r="N108" s="324"/>
      <c r="O108" s="325"/>
      <c r="P108" s="325"/>
      <c r="Q108" s="325"/>
      <c r="R108" s="325"/>
      <c r="S108" s="208"/>
      <c r="T108" s="182"/>
      <c r="U108" s="182"/>
      <c r="V108" s="182"/>
    </row>
    <row r="109" spans="5:22" ht="12" customHeight="1">
      <c r="E109" s="507" t="s">
        <v>259</v>
      </c>
      <c r="F109" s="508"/>
      <c r="G109" s="508"/>
      <c r="H109" s="508"/>
      <c r="I109" s="508"/>
      <c r="J109" s="508"/>
      <c r="K109" s="509"/>
      <c r="L109" s="327"/>
      <c r="M109" s="327">
        <f>X103</f>
        <v>10000</v>
      </c>
      <c r="N109" s="324"/>
      <c r="O109" s="325"/>
      <c r="P109" s="325"/>
      <c r="Q109" s="325"/>
      <c r="R109" s="325"/>
      <c r="S109" s="208"/>
      <c r="T109" s="182"/>
      <c r="U109" s="182"/>
      <c r="V109" s="182"/>
    </row>
    <row r="110" spans="5:22" ht="12" customHeight="1">
      <c r="E110" s="507" t="s">
        <v>257</v>
      </c>
      <c r="F110" s="508"/>
      <c r="G110" s="508"/>
      <c r="H110" s="508"/>
      <c r="I110" s="508"/>
      <c r="J110" s="508"/>
      <c r="K110" s="509"/>
      <c r="L110" s="327"/>
      <c r="M110" s="327">
        <f>W103</f>
        <v>0</v>
      </c>
      <c r="N110" s="324"/>
      <c r="O110" s="325"/>
      <c r="P110" s="325"/>
      <c r="Q110" s="325"/>
      <c r="R110" s="325"/>
      <c r="S110" s="208"/>
      <c r="T110" s="182"/>
      <c r="U110" s="182"/>
      <c r="V110" s="182"/>
    </row>
    <row r="111" spans="5:22" ht="12" customHeight="1">
      <c r="E111" s="507" t="s">
        <v>258</v>
      </c>
      <c r="F111" s="508"/>
      <c r="G111" s="508"/>
      <c r="H111" s="508"/>
      <c r="I111" s="508"/>
      <c r="J111" s="508"/>
      <c r="K111" s="509"/>
      <c r="L111" s="327"/>
      <c r="M111" s="327">
        <f>Y103</f>
        <v>0</v>
      </c>
      <c r="N111" s="324"/>
      <c r="O111" s="325"/>
      <c r="P111" s="325"/>
      <c r="Q111" s="325"/>
      <c r="R111" s="325"/>
      <c r="S111" s="208"/>
      <c r="T111" s="182"/>
      <c r="U111" s="182"/>
      <c r="V111" s="182"/>
    </row>
    <row r="112" spans="5:22" ht="12" customHeight="1">
      <c r="E112" s="507" t="s">
        <v>95</v>
      </c>
      <c r="F112" s="508"/>
      <c r="G112" s="508"/>
      <c r="H112" s="508"/>
      <c r="I112" s="508"/>
      <c r="J112" s="508"/>
      <c r="K112" s="509"/>
      <c r="L112" s="327"/>
      <c r="M112" s="327">
        <f>SUMIF(J11:J101,"=Ne",M11:M101)</f>
        <v>0</v>
      </c>
      <c r="N112" s="324"/>
      <c r="O112" s="325"/>
      <c r="P112" s="325"/>
      <c r="Q112" s="325"/>
      <c r="R112" s="325"/>
      <c r="S112" s="208"/>
      <c r="T112" s="182"/>
      <c r="U112" s="182"/>
      <c r="V112" s="182"/>
    </row>
    <row r="113" spans="17:22" ht="9.75">
      <c r="Q113" s="183"/>
      <c r="R113" s="183"/>
      <c r="S113" s="183"/>
      <c r="T113" s="182"/>
      <c r="U113" s="182"/>
      <c r="V113" s="182"/>
    </row>
    <row r="114" spans="12:22" ht="9.75">
      <c r="L114" s="497"/>
      <c r="M114" s="498"/>
      <c r="N114" s="498"/>
      <c r="O114" s="498"/>
      <c r="P114" s="499"/>
      <c r="Q114" s="326"/>
      <c r="R114" s="184"/>
      <c r="S114" s="184"/>
      <c r="T114" s="182"/>
      <c r="U114" s="182"/>
      <c r="V114" s="182"/>
    </row>
    <row r="115" spans="12:22" ht="9.75">
      <c r="L115" s="292"/>
      <c r="M115" s="292"/>
      <c r="N115" s="292"/>
      <c r="O115" s="292"/>
      <c r="P115" s="292"/>
      <c r="Q115" s="184"/>
      <c r="R115" s="184"/>
      <c r="S115" s="184"/>
      <c r="T115" s="182"/>
      <c r="U115" s="182"/>
      <c r="V115" s="182"/>
    </row>
    <row r="116" spans="13:22" ht="12">
      <c r="M116" s="286"/>
      <c r="N116" s="286"/>
      <c r="O116" s="286"/>
      <c r="P116" s="336" t="s">
        <v>4</v>
      </c>
      <c r="Q116" s="337" t="s">
        <v>3</v>
      </c>
      <c r="R116" s="287"/>
      <c r="S116" s="183"/>
      <c r="T116" s="182"/>
      <c r="U116" s="182"/>
      <c r="V116" s="182"/>
    </row>
    <row r="117" spans="5:22" ht="12" customHeight="1">
      <c r="E117" s="496" t="s">
        <v>238</v>
      </c>
      <c r="F117" s="496"/>
      <c r="G117" s="496"/>
      <c r="H117" s="496"/>
      <c r="I117" s="496"/>
      <c r="J117" s="496"/>
      <c r="K117" s="496"/>
      <c r="L117" s="496"/>
      <c r="M117" s="328">
        <f>M122+M125</f>
        <v>20001</v>
      </c>
      <c r="N117" s="329"/>
      <c r="O117" s="329"/>
      <c r="P117" s="330">
        <f>P122+P125</f>
        <v>17000</v>
      </c>
      <c r="Q117" s="330">
        <f aca="true" t="shared" si="8" ref="P117:Q119">Q122+Q125</f>
        <v>3001</v>
      </c>
      <c r="R117" s="323"/>
      <c r="S117" s="183"/>
      <c r="T117" s="182"/>
      <c r="U117" s="182"/>
      <c r="V117" s="182"/>
    </row>
    <row r="118" spans="5:22" ht="12" customHeight="1">
      <c r="E118" s="496" t="s">
        <v>239</v>
      </c>
      <c r="F118" s="496"/>
      <c r="G118" s="496"/>
      <c r="H118" s="496"/>
      <c r="I118" s="496"/>
      <c r="J118" s="496"/>
      <c r="K118" s="496"/>
      <c r="L118" s="496"/>
      <c r="M118" s="328">
        <f>P118+Q118+R118</f>
        <v>20001</v>
      </c>
      <c r="N118" s="329"/>
      <c r="O118" s="329"/>
      <c r="P118" s="330">
        <f t="shared" si="8"/>
        <v>17000</v>
      </c>
      <c r="Q118" s="330">
        <f t="shared" si="8"/>
        <v>3001</v>
      </c>
      <c r="R118" s="323"/>
      <c r="S118" s="183"/>
      <c r="T118" s="182"/>
      <c r="U118" s="182"/>
      <c r="V118" s="182"/>
    </row>
    <row r="119" spans="5:22" ht="12" customHeight="1">
      <c r="E119" s="496" t="s">
        <v>240</v>
      </c>
      <c r="F119" s="496"/>
      <c r="G119" s="496"/>
      <c r="H119" s="496"/>
      <c r="I119" s="496"/>
      <c r="J119" s="496"/>
      <c r="K119" s="496"/>
      <c r="L119" s="496"/>
      <c r="M119" s="328">
        <f>P119+Q119+R119</f>
        <v>0</v>
      </c>
      <c r="N119" s="329"/>
      <c r="O119" s="329"/>
      <c r="P119" s="330">
        <f t="shared" si="8"/>
        <v>0</v>
      </c>
      <c r="Q119" s="330">
        <f t="shared" si="8"/>
        <v>0</v>
      </c>
      <c r="R119" s="323"/>
      <c r="S119" s="183"/>
      <c r="T119" s="182"/>
      <c r="U119" s="182"/>
      <c r="V119" s="182"/>
    </row>
    <row r="120" spans="5:22" ht="12">
      <c r="E120" s="331"/>
      <c r="F120" s="331"/>
      <c r="G120" s="332"/>
      <c r="H120" s="331"/>
      <c r="I120" s="331"/>
      <c r="J120" s="333"/>
      <c r="K120" s="331"/>
      <c r="L120" s="331"/>
      <c r="M120" s="334"/>
      <c r="N120" s="334"/>
      <c r="O120" s="334"/>
      <c r="P120" s="334"/>
      <c r="Q120" s="335"/>
      <c r="R120" s="288"/>
      <c r="S120" s="183"/>
      <c r="T120" s="182"/>
      <c r="U120" s="182"/>
      <c r="V120" s="182"/>
    </row>
    <row r="121" spans="5:22" ht="12">
      <c r="E121" s="331"/>
      <c r="F121" s="331"/>
      <c r="G121" s="332"/>
      <c r="H121" s="331"/>
      <c r="I121" s="331"/>
      <c r="J121" s="333"/>
      <c r="K121" s="331"/>
      <c r="L121" s="331"/>
      <c r="M121" s="334"/>
      <c r="N121" s="334"/>
      <c r="O121" s="334"/>
      <c r="P121" s="334"/>
      <c r="Q121" s="335"/>
      <c r="R121" s="288"/>
      <c r="S121" s="183"/>
      <c r="T121" s="182"/>
      <c r="U121" s="182"/>
      <c r="V121" s="182"/>
    </row>
    <row r="122" spans="5:22" ht="12" customHeight="1">
      <c r="E122" s="500" t="s">
        <v>247</v>
      </c>
      <c r="F122" s="500"/>
      <c r="G122" s="500"/>
      <c r="H122" s="500"/>
      <c r="I122" s="500"/>
      <c r="J122" s="500"/>
      <c r="K122" s="500"/>
      <c r="L122" s="500"/>
      <c r="M122" s="328">
        <f>M123+M124</f>
        <v>10001</v>
      </c>
      <c r="N122" s="329"/>
      <c r="O122" s="329"/>
      <c r="P122" s="330">
        <f>P123+P124</f>
        <v>8500</v>
      </c>
      <c r="Q122" s="330">
        <f>Q123+Q124</f>
        <v>1501</v>
      </c>
      <c r="R122" s="323"/>
      <c r="S122" s="183"/>
      <c r="T122" s="182"/>
      <c r="U122" s="182"/>
      <c r="V122" s="182"/>
    </row>
    <row r="123" spans="5:22" ht="12" customHeight="1">
      <c r="E123" s="493" t="s">
        <v>249</v>
      </c>
      <c r="F123" s="494"/>
      <c r="G123" s="494"/>
      <c r="H123" s="494"/>
      <c r="I123" s="494"/>
      <c r="J123" s="494"/>
      <c r="K123" s="494"/>
      <c r="L123" s="495"/>
      <c r="M123" s="328">
        <f>V103</f>
        <v>10001</v>
      </c>
      <c r="N123" s="329"/>
      <c r="O123" s="329"/>
      <c r="P123" s="330">
        <f>FLOOR(D6/100*V103,1)</f>
        <v>8500</v>
      </c>
      <c r="Q123" s="330">
        <f>M123-P123</f>
        <v>1501</v>
      </c>
      <c r="R123" s="323"/>
      <c r="S123" s="183"/>
      <c r="U123" s="182"/>
      <c r="V123" s="182"/>
    </row>
    <row r="124" spans="5:22" ht="12" customHeight="1">
      <c r="E124" s="493" t="s">
        <v>250</v>
      </c>
      <c r="F124" s="494"/>
      <c r="G124" s="494"/>
      <c r="H124" s="494"/>
      <c r="I124" s="494"/>
      <c r="J124" s="494"/>
      <c r="K124" s="494"/>
      <c r="L124" s="495"/>
      <c r="M124" s="328">
        <f>FLOOR(W103,1)</f>
        <v>0</v>
      </c>
      <c r="N124" s="329"/>
      <c r="O124" s="329"/>
      <c r="P124" s="330">
        <f>FLOOR(D6/100*W103,1)</f>
        <v>0</v>
      </c>
      <c r="Q124" s="330">
        <f>M124-P124</f>
        <v>0</v>
      </c>
      <c r="R124" s="323"/>
      <c r="S124" s="183"/>
      <c r="T124" s="182"/>
      <c r="U124" s="182"/>
      <c r="V124" s="182"/>
    </row>
    <row r="125" spans="5:22" ht="12" customHeight="1">
      <c r="E125" s="500" t="s">
        <v>248</v>
      </c>
      <c r="F125" s="500"/>
      <c r="G125" s="500"/>
      <c r="H125" s="500"/>
      <c r="I125" s="500"/>
      <c r="J125" s="500"/>
      <c r="K125" s="500"/>
      <c r="L125" s="500"/>
      <c r="M125" s="328">
        <f>FLOOR(X103+Y103,1)</f>
        <v>10000</v>
      </c>
      <c r="N125" s="329"/>
      <c r="O125" s="329"/>
      <c r="P125" s="330">
        <f>P126+P127</f>
        <v>8500</v>
      </c>
      <c r="Q125" s="330">
        <f>Q126+Q127</f>
        <v>1500</v>
      </c>
      <c r="R125" s="323"/>
      <c r="S125" s="183"/>
      <c r="T125" s="182"/>
      <c r="U125" s="182"/>
      <c r="V125" s="182"/>
    </row>
    <row r="126" spans="5:22" ht="12" customHeight="1">
      <c r="E126" s="493" t="s">
        <v>251</v>
      </c>
      <c r="F126" s="494"/>
      <c r="G126" s="494"/>
      <c r="H126" s="494"/>
      <c r="I126" s="494"/>
      <c r="J126" s="494"/>
      <c r="K126" s="494"/>
      <c r="L126" s="495"/>
      <c r="M126" s="328">
        <f>FLOOR(X103,1)</f>
        <v>10000</v>
      </c>
      <c r="N126" s="329"/>
      <c r="O126" s="329"/>
      <c r="P126" s="330">
        <f>FLOOR(D6/100*X103,1)</f>
        <v>8500</v>
      </c>
      <c r="Q126" s="330">
        <f>M126-P126</f>
        <v>1500</v>
      </c>
      <c r="R126" s="323"/>
      <c r="S126" s="183"/>
      <c r="T126" s="291"/>
      <c r="U126" s="182"/>
      <c r="V126" s="182"/>
    </row>
    <row r="127" spans="5:22" ht="12" customHeight="1">
      <c r="E127" s="493" t="s">
        <v>252</v>
      </c>
      <c r="F127" s="494"/>
      <c r="G127" s="494"/>
      <c r="H127" s="494"/>
      <c r="I127" s="494"/>
      <c r="J127" s="494"/>
      <c r="K127" s="494"/>
      <c r="L127" s="495"/>
      <c r="M127" s="328">
        <f>FLOOR(Y103,1)</f>
        <v>0</v>
      </c>
      <c r="N127" s="329"/>
      <c r="O127" s="329"/>
      <c r="P127" s="330">
        <f>FLOOR(D6/100*Y103,1)</f>
        <v>0</v>
      </c>
      <c r="Q127" s="330">
        <f>M127-P127</f>
        <v>0</v>
      </c>
      <c r="R127" s="323"/>
      <c r="S127" s="183"/>
      <c r="T127" s="182"/>
      <c r="U127" s="182"/>
      <c r="V127" s="182"/>
    </row>
    <row r="128" spans="17:22" ht="9.75">
      <c r="Q128" s="183"/>
      <c r="R128" s="183"/>
      <c r="S128" s="183"/>
      <c r="T128" s="182"/>
      <c r="U128" s="182"/>
      <c r="V128" s="182"/>
    </row>
    <row r="129" spans="3:22" ht="12.75" customHeight="1">
      <c r="C129" s="490" t="s">
        <v>96</v>
      </c>
      <c r="D129" s="490" t="s">
        <v>97</v>
      </c>
      <c r="E129" s="519" t="s">
        <v>98</v>
      </c>
      <c r="F129" s="519"/>
      <c r="G129" s="519"/>
      <c r="H129" s="490"/>
      <c r="I129" s="490"/>
      <c r="J129" s="490" t="s">
        <v>99</v>
      </c>
      <c r="K129" s="490"/>
      <c r="L129" s="478"/>
      <c r="M129" s="479"/>
      <c r="N129" s="479"/>
      <c r="O129" s="480"/>
      <c r="P129" s="504" t="s">
        <v>100</v>
      </c>
      <c r="Q129" s="501"/>
      <c r="R129" s="285"/>
      <c r="S129" s="285"/>
      <c r="T129" s="285"/>
      <c r="U129" s="285"/>
      <c r="V129" s="285"/>
    </row>
    <row r="130" spans="3:22" ht="12.75" customHeight="1">
      <c r="C130" s="491"/>
      <c r="D130" s="491"/>
      <c r="E130" s="491"/>
      <c r="F130" s="491"/>
      <c r="G130" s="491"/>
      <c r="H130" s="491"/>
      <c r="I130" s="491"/>
      <c r="J130" s="491"/>
      <c r="K130" s="491"/>
      <c r="L130" s="481"/>
      <c r="M130" s="482"/>
      <c r="N130" s="482"/>
      <c r="O130" s="483"/>
      <c r="P130" s="505"/>
      <c r="Q130" s="502"/>
      <c r="R130" s="285"/>
      <c r="S130" s="285"/>
      <c r="T130" s="285"/>
      <c r="U130" s="285"/>
      <c r="V130" s="285"/>
    </row>
    <row r="131" spans="3:22" ht="12.75" customHeight="1">
      <c r="C131" s="492"/>
      <c r="D131" s="492"/>
      <c r="E131" s="492"/>
      <c r="F131" s="492"/>
      <c r="G131" s="492"/>
      <c r="H131" s="492"/>
      <c r="I131" s="492"/>
      <c r="J131" s="492"/>
      <c r="K131" s="492"/>
      <c r="L131" s="484"/>
      <c r="M131" s="485"/>
      <c r="N131" s="485"/>
      <c r="O131" s="486"/>
      <c r="P131" s="506"/>
      <c r="Q131" s="503"/>
      <c r="R131" s="285"/>
      <c r="S131" s="285"/>
      <c r="T131" s="285"/>
      <c r="U131" s="285"/>
      <c r="V131" s="285"/>
    </row>
    <row r="132" spans="3:17" ht="12">
      <c r="C132" s="186"/>
      <c r="D132" s="186"/>
      <c r="E132" s="186"/>
      <c r="F132" s="186"/>
      <c r="G132" s="338"/>
      <c r="H132" s="186"/>
      <c r="I132" s="186"/>
      <c r="J132" s="339"/>
      <c r="K132" s="186"/>
      <c r="L132" s="186"/>
      <c r="M132" s="186"/>
      <c r="N132" s="186"/>
      <c r="O132" s="186"/>
      <c r="P132" s="186"/>
      <c r="Q132" s="186"/>
    </row>
    <row r="133" spans="3:17" ht="12">
      <c r="C133" s="186"/>
      <c r="D133" s="186"/>
      <c r="E133" s="186"/>
      <c r="F133" s="186"/>
      <c r="G133" s="338"/>
      <c r="H133" s="186"/>
      <c r="I133" s="186"/>
      <c r="J133" s="339"/>
      <c r="K133" s="186"/>
      <c r="L133" s="186"/>
      <c r="M133" s="186"/>
      <c r="N133" s="186"/>
      <c r="O133" s="186"/>
      <c r="P133" s="186"/>
      <c r="Q133" s="186"/>
    </row>
    <row r="134" spans="3:18" ht="12.75" customHeight="1">
      <c r="C134" s="516" t="s">
        <v>253</v>
      </c>
      <c r="D134" s="490" t="s">
        <v>254</v>
      </c>
      <c r="E134" s="519" t="s">
        <v>98</v>
      </c>
      <c r="F134" s="519"/>
      <c r="G134" s="519"/>
      <c r="H134" s="490"/>
      <c r="I134" s="490"/>
      <c r="J134" s="490" t="s">
        <v>99</v>
      </c>
      <c r="K134" s="490"/>
      <c r="L134" s="478"/>
      <c r="M134" s="479"/>
      <c r="N134" s="479"/>
      <c r="O134" s="480"/>
      <c r="P134" s="504" t="s">
        <v>100</v>
      </c>
      <c r="Q134" s="501"/>
      <c r="R134" s="285"/>
    </row>
    <row r="135" spans="3:18" ht="12.75" customHeight="1">
      <c r="C135" s="517"/>
      <c r="D135" s="491"/>
      <c r="E135" s="491"/>
      <c r="F135" s="491"/>
      <c r="G135" s="491"/>
      <c r="H135" s="491"/>
      <c r="I135" s="491"/>
      <c r="J135" s="491"/>
      <c r="K135" s="491"/>
      <c r="L135" s="481"/>
      <c r="M135" s="482"/>
      <c r="N135" s="482"/>
      <c r="O135" s="483"/>
      <c r="P135" s="505"/>
      <c r="Q135" s="502"/>
      <c r="R135" s="285"/>
    </row>
    <row r="136" spans="3:18" ht="12.75" customHeight="1">
      <c r="C136" s="518"/>
      <c r="D136" s="492"/>
      <c r="E136" s="492"/>
      <c r="F136" s="492"/>
      <c r="G136" s="492"/>
      <c r="H136" s="492"/>
      <c r="I136" s="492"/>
      <c r="J136" s="492"/>
      <c r="K136" s="492"/>
      <c r="L136" s="484"/>
      <c r="M136" s="485"/>
      <c r="N136" s="485"/>
      <c r="O136" s="486"/>
      <c r="P136" s="506"/>
      <c r="Q136" s="503"/>
      <c r="R136" s="285"/>
    </row>
  </sheetData>
  <sheetProtection selectLockedCells="1"/>
  <protectedRanges>
    <protectedRange sqref="E129:G129 R134 R129:S129 E134:G134" name="Oblast3"/>
    <protectedRange sqref="C11:C101 D11:G50 D52:G101 H11:H101 I11:I102 J11:O101" name="Oblast2"/>
  </protectedRanges>
  <mergeCells count="146">
    <mergeCell ref="E110:K110"/>
    <mergeCell ref="E111:K111"/>
    <mergeCell ref="E112:K112"/>
    <mergeCell ref="G5:H5"/>
    <mergeCell ref="G6:H6"/>
    <mergeCell ref="B5:C6"/>
    <mergeCell ref="A1:C1"/>
    <mergeCell ref="A2:C2"/>
    <mergeCell ref="A3:C3"/>
    <mergeCell ref="D1:I1"/>
    <mergeCell ref="D2:I2"/>
    <mergeCell ref="D3:I3"/>
    <mergeCell ref="M1:T1"/>
    <mergeCell ref="M3:T3"/>
    <mergeCell ref="A9:A10"/>
    <mergeCell ref="B9:B10"/>
    <mergeCell ref="J1:L1"/>
    <mergeCell ref="N9:N10"/>
    <mergeCell ref="L9:L10"/>
    <mergeCell ref="M9:M10"/>
    <mergeCell ref="G9:G10"/>
    <mergeCell ref="J9:J10"/>
    <mergeCell ref="C134:C136"/>
    <mergeCell ref="D134:D136"/>
    <mergeCell ref="E134:I136"/>
    <mergeCell ref="J134:K136"/>
    <mergeCell ref="P134:P136"/>
    <mergeCell ref="E123:L123"/>
    <mergeCell ref="E124:L124"/>
    <mergeCell ref="E125:L125"/>
    <mergeCell ref="E129:I131"/>
    <mergeCell ref="J129:K131"/>
    <mergeCell ref="Q134:Q136"/>
    <mergeCell ref="Q129:Q131"/>
    <mergeCell ref="P129:P131"/>
    <mergeCell ref="E108:K108"/>
    <mergeCell ref="M2:T2"/>
    <mergeCell ref="J2:L2"/>
    <mergeCell ref="J3:L3"/>
    <mergeCell ref="O9:O10"/>
    <mergeCell ref="K9:K10"/>
    <mergeCell ref="E109:K109"/>
    <mergeCell ref="P9:P10"/>
    <mergeCell ref="Q9:R10"/>
    <mergeCell ref="Q11:R11"/>
    <mergeCell ref="Q12:R12"/>
    <mergeCell ref="L134:O136"/>
    <mergeCell ref="C129:C131"/>
    <mergeCell ref="D129:D131"/>
    <mergeCell ref="E126:L126"/>
    <mergeCell ref="E118:L118"/>
    <mergeCell ref="L114:P114"/>
    <mergeCell ref="Q13:R13"/>
    <mergeCell ref="Q14:R14"/>
    <mergeCell ref="Q15:R15"/>
    <mergeCell ref="Q16:R16"/>
    <mergeCell ref="Q17:R17"/>
    <mergeCell ref="Q18:R18"/>
    <mergeCell ref="Q19:R19"/>
    <mergeCell ref="Q21:R21"/>
    <mergeCell ref="Q20:R20"/>
    <mergeCell ref="Q23:R23"/>
    <mergeCell ref="Q22:R22"/>
    <mergeCell ref="Q24:R24"/>
    <mergeCell ref="Q26:R26"/>
    <mergeCell ref="Q25:R25"/>
    <mergeCell ref="Q27:R27"/>
    <mergeCell ref="Q29:R29"/>
    <mergeCell ref="Q28:R28"/>
    <mergeCell ref="Q30:R30"/>
    <mergeCell ref="Q31:R31"/>
    <mergeCell ref="Q33:R33"/>
    <mergeCell ref="Q32:R32"/>
    <mergeCell ref="Q34:R34"/>
    <mergeCell ref="Q35:R35"/>
    <mergeCell ref="Q36:R36"/>
    <mergeCell ref="Q37:R37"/>
    <mergeCell ref="Q38:R38"/>
    <mergeCell ref="Q39:R39"/>
    <mergeCell ref="Q40:R40"/>
    <mergeCell ref="Q42:R42"/>
    <mergeCell ref="Q41:R41"/>
    <mergeCell ref="Q43:R43"/>
    <mergeCell ref="Q45:R45"/>
    <mergeCell ref="Q44:R44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6:R56"/>
    <mergeCell ref="Q55:R55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L129:O131"/>
    <mergeCell ref="E117:L117"/>
    <mergeCell ref="E119:L119"/>
    <mergeCell ref="E122:L122"/>
    <mergeCell ref="E127:L127"/>
  </mergeCells>
  <conditionalFormatting sqref="O12">
    <cfRule type="cellIs" priority="1" dxfId="0" operator="equal" stopIfTrue="1">
      <formula>$J$12</formula>
    </cfRule>
  </conditionalFormatting>
  <dataValidations count="3">
    <dataValidation type="list" allowBlank="1" showInputMessage="1" showErrorMessage="1" sqref="J11:J101 O11:O101">
      <formula1>"Ano,Ne"</formula1>
    </dataValidation>
    <dataValidation type="list" allowBlank="1" showInputMessage="1" showErrorMessage="1" sqref="H11:H29 H31:H101">
      <formula1>NEINV</formula1>
    </dataValidation>
    <dataValidation type="list" allowBlank="1" showInputMessage="1" showErrorMessage="1" sqref="I11:I102">
      <formula1>INV</formula1>
    </dataValidation>
  </dataValidations>
  <printOptions/>
  <pageMargins left="0.1968503937007874" right="0.1968503937007874" top="0.41" bottom="0.984251968503937" header="0.27" footer="0.5118110236220472"/>
  <pageSetup fitToHeight="0" fitToWidth="1" horizontalDpi="600" verticalDpi="600" orientation="landscape" paperSize="9" scale="51" r:id="rId3"/>
  <headerFooter alignWithMargins="0">
    <oddHeader>&amp;CPříloha k monitorovací zprávě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7">
      <selection activeCell="B51" sqref="B51"/>
    </sheetView>
  </sheetViews>
  <sheetFormatPr defaultColWidth="9.140625" defaultRowHeight="12.75"/>
  <cols>
    <col min="1" max="1" width="6.8515625" style="186" customWidth="1"/>
    <col min="2" max="2" width="45.7109375" style="186" customWidth="1"/>
    <col min="3" max="3" width="16.7109375" style="186" customWidth="1"/>
    <col min="4" max="4" width="16.140625" style="186" customWidth="1"/>
    <col min="5" max="5" width="7.421875" style="186" customWidth="1"/>
    <col min="6" max="6" width="46.7109375" style="186" customWidth="1"/>
    <col min="7" max="8" width="16.28125" style="186" customWidth="1"/>
    <col min="9" max="16384" width="9.140625" style="186" customWidth="1"/>
  </cols>
  <sheetData>
    <row r="1" spans="1:8" ht="12.75">
      <c r="A1" s="185" t="str">
        <f>'Přehled smluv a faktur'!C9</f>
        <v>Monitorovací zpráva - přehled faktur - projekt:</v>
      </c>
      <c r="B1" s="185"/>
      <c r="C1" s="535">
        <f>'Přehled smluv a faktur'!E9</f>
        <v>0</v>
      </c>
      <c r="D1" s="536"/>
      <c r="E1" s="185" t="str">
        <f>'Přehled smluv a faktur'!C9</f>
        <v>Monitorovací zpráva - přehled faktur - projekt:</v>
      </c>
      <c r="F1" s="185"/>
      <c r="G1" s="535">
        <f>'Přehled smluv a faktur'!E9</f>
        <v>0</v>
      </c>
      <c r="H1" s="536"/>
    </row>
    <row r="2" spans="1:8" ht="12">
      <c r="A2" s="187" t="s">
        <v>101</v>
      </c>
      <c r="B2" s="188" t="s">
        <v>102</v>
      </c>
      <c r="C2" s="189" t="s">
        <v>103</v>
      </c>
      <c r="D2" s="189" t="s">
        <v>104</v>
      </c>
      <c r="E2" s="187" t="s">
        <v>85</v>
      </c>
      <c r="F2" s="188" t="s">
        <v>105</v>
      </c>
      <c r="G2" s="189" t="s">
        <v>103</v>
      </c>
      <c r="H2" s="189" t="s">
        <v>104</v>
      </c>
    </row>
    <row r="3" spans="1:8" ht="12">
      <c r="A3" s="275">
        <v>5010</v>
      </c>
      <c r="B3" s="187" t="s">
        <v>208</v>
      </c>
      <c r="C3" s="191">
        <f>SUMIF('Přehled smluv a faktur'!H11:H101,"=5010",'Přehled smluv a faktur'!K11:K101)</f>
        <v>0</v>
      </c>
      <c r="D3" s="191">
        <f>SUMIF('Přehled smluv a faktur'!H11:H101,"=5010",'Přehled smluv a faktur'!M11:M101)</f>
        <v>15000</v>
      </c>
      <c r="E3" s="275">
        <v>6010</v>
      </c>
      <c r="F3" s="187" t="s">
        <v>106</v>
      </c>
      <c r="G3" s="191">
        <f>SUMIF('Přehled smluv a faktur'!I11:I101,"=6010",'Přehled smluv a faktur'!K11:K101)</f>
        <v>0</v>
      </c>
      <c r="H3" s="191">
        <f>SUMIF('Přehled smluv a faktur'!I11:I101,"=6010",'Přehled smluv a faktur'!M11:M101)</f>
        <v>15001</v>
      </c>
    </row>
    <row r="4" spans="1:8" ht="12">
      <c r="A4" s="275">
        <v>5011</v>
      </c>
      <c r="B4" s="187" t="s">
        <v>209</v>
      </c>
      <c r="C4" s="191">
        <f>SUMIF('Přehled smluv a faktur'!H11:H101,"=5011",'Přehled smluv a faktur'!K11:K101)</f>
        <v>0</v>
      </c>
      <c r="D4" s="191">
        <f>SUMIF('Přehled smluv a faktur'!H11:H101,"=5011",'Přehled smluv a faktur'!M11:M101)</f>
        <v>0</v>
      </c>
      <c r="E4" s="275">
        <v>6011</v>
      </c>
      <c r="F4" s="187" t="s">
        <v>107</v>
      </c>
      <c r="G4" s="191">
        <f>SUMIF('Přehled smluv a faktur'!I11:I101,"=6011",'Přehled smluv a faktur'!K11:K101)</f>
        <v>0</v>
      </c>
      <c r="H4" s="191">
        <f>SUMIF('Přehled smluv a faktur'!I11:I101,"=6011",'Přehled smluv a faktur'!M11:M101)</f>
        <v>0</v>
      </c>
    </row>
    <row r="5" spans="1:8" ht="12">
      <c r="A5" s="275">
        <v>5012</v>
      </c>
      <c r="B5" s="187" t="s">
        <v>108</v>
      </c>
      <c r="C5" s="191">
        <f>SUMIF('Přehled smluv a faktur'!H11:H101,"=5012",'Přehled smluv a faktur'!K11:K101)</f>
        <v>0</v>
      </c>
      <c r="D5" s="191">
        <f>SUMIF('Přehled smluv a faktur'!H11:H101,"=5012",'Přehled smluv a faktur'!M11:M101)</f>
        <v>0</v>
      </c>
      <c r="E5" s="275">
        <v>6012</v>
      </c>
      <c r="F5" s="187" t="s">
        <v>108</v>
      </c>
      <c r="G5" s="191">
        <f>SUMIF('Přehled smluv a faktur'!I11:I101,"=6012",'Přehled smluv a faktur'!K11:K101)</f>
        <v>0</v>
      </c>
      <c r="H5" s="191">
        <f>SUMIF('Přehled smluv a faktur'!I11:I101,"=6012",'Přehled smluv a faktur'!M11:M101)</f>
        <v>0</v>
      </c>
    </row>
    <row r="6" spans="1:8" ht="12">
      <c r="A6" s="275">
        <v>5014</v>
      </c>
      <c r="B6" s="187" t="s">
        <v>210</v>
      </c>
      <c r="C6" s="191">
        <f>SUMIF('Přehled smluv a faktur'!H11:H101,"=5014",'Přehled smluv a faktur'!K11:K101)</f>
        <v>0</v>
      </c>
      <c r="D6" s="191">
        <f>SUMIF('Přehled smluv a faktur'!H11:H101,"=5014",'Přehled smluv a faktur'!M11:M101)</f>
        <v>0</v>
      </c>
      <c r="E6" s="275">
        <v>6013</v>
      </c>
      <c r="F6" s="187" t="s">
        <v>228</v>
      </c>
      <c r="G6" s="191">
        <f>SUMIF('Přehled smluv a faktur'!I11:I101,"=6013",'Přehled smluv a faktur'!K11:K101)</f>
        <v>0</v>
      </c>
      <c r="H6" s="191">
        <f>SUMIF('Přehled smluv a faktur'!I11:I101,"=6013",'Přehled smluv a faktur'!M11:M101)</f>
        <v>0</v>
      </c>
    </row>
    <row r="7" spans="1:8" ht="12">
      <c r="A7" s="275">
        <v>5019</v>
      </c>
      <c r="B7" s="187" t="s">
        <v>211</v>
      </c>
      <c r="C7" s="191">
        <f>SUMIF('Přehled smluv a faktur'!H11:H101,"=5019",'Přehled smluv a faktur'!K11:K101)</f>
        <v>0</v>
      </c>
      <c r="D7" s="191">
        <f>SUMIF('Přehled smluv a faktur'!H11:H101,"=5019",'Přehled smluv a faktur'!M11:M101)</f>
        <v>0</v>
      </c>
      <c r="E7" s="186">
        <v>6014</v>
      </c>
      <c r="F7" s="186" t="s">
        <v>210</v>
      </c>
      <c r="G7" s="191">
        <f>SUMIF('Přehled smluv a faktur'!I11:I101,"=6014",'Přehled smluv a faktur'!K11:K101)</f>
        <v>0</v>
      </c>
      <c r="H7" s="191">
        <f>SUMIF('Přehled smluv a faktur'!I11:I101,"=6014",'Přehled smluv a faktur'!M11:M101)</f>
        <v>0</v>
      </c>
    </row>
    <row r="8" spans="1:8" ht="12">
      <c r="A8" s="276" t="s">
        <v>212</v>
      </c>
      <c r="B8" s="193" t="s">
        <v>213</v>
      </c>
      <c r="C8" s="194">
        <f>SUM(C3:C7)</f>
        <v>0</v>
      </c>
      <c r="D8" s="194">
        <f>SUM(D3:D7)</f>
        <v>15000</v>
      </c>
      <c r="E8" s="275">
        <v>6019</v>
      </c>
      <c r="F8" s="187" t="s">
        <v>211</v>
      </c>
      <c r="G8" s="191">
        <f>SUMIF('Přehled smluv a faktur'!I11:I101,"=6019",'Přehled smluv a faktur'!K11:K101)</f>
        <v>0</v>
      </c>
      <c r="H8" s="191">
        <f>SUMIF('Přehled smluv a faktur'!I11:I101,"=6019",'Přehled smluv a faktur'!M11:M101)</f>
        <v>0</v>
      </c>
    </row>
    <row r="9" spans="1:8" ht="12">
      <c r="A9" s="275">
        <v>5030</v>
      </c>
      <c r="B9" s="187" t="s">
        <v>214</v>
      </c>
      <c r="C9" s="191">
        <f>SUMIF('Přehled smluv a faktur'!H11:H101,"=5030",'Přehled smluv a faktur'!K11:K101)</f>
        <v>0</v>
      </c>
      <c r="D9" s="191">
        <f>SUMIF('Přehled smluv a faktur'!H11:H101,"=5030",'Přehled smluv a faktur'!M11:M101)</f>
        <v>0</v>
      </c>
      <c r="E9" s="192" t="s">
        <v>229</v>
      </c>
      <c r="F9" s="193" t="s">
        <v>109</v>
      </c>
      <c r="G9" s="195">
        <f>SUM(G3:G8)</f>
        <v>0</v>
      </c>
      <c r="H9" s="195">
        <f>SUM(H3:H8)</f>
        <v>15001</v>
      </c>
    </row>
    <row r="10" spans="1:8" ht="12">
      <c r="A10" s="275">
        <v>5031</v>
      </c>
      <c r="B10" s="187" t="s">
        <v>110</v>
      </c>
      <c r="C10" s="191">
        <f>SUMIF('Přehled smluv a faktur'!H11:H101,"=5031",'Přehled smluv a faktur'!K11:K101)</f>
        <v>0</v>
      </c>
      <c r="D10" s="191">
        <f>SUMIF('Přehled smluv a faktur'!H11:H101,"=5031",'Přehled smluv a faktur'!M11:M101)</f>
        <v>0</v>
      </c>
      <c r="E10" s="275">
        <v>6090</v>
      </c>
      <c r="F10" s="187" t="s">
        <v>112</v>
      </c>
      <c r="G10" s="191">
        <f>SUMIF('Přehled smluv a faktur'!I11:I101,"=6090",'Přehled smluv a faktur'!K11:K101)</f>
        <v>0</v>
      </c>
      <c r="H10" s="191">
        <f>SUMIF('Přehled smluv a faktur'!I11:I101,"=6090",'Přehled smluv a faktur'!M11:M101)</f>
        <v>0</v>
      </c>
    </row>
    <row r="11" spans="1:8" ht="12">
      <c r="A11" s="275">
        <v>5032</v>
      </c>
      <c r="B11" s="187" t="s">
        <v>111</v>
      </c>
      <c r="C11" s="191">
        <f>SUMIF('Přehled smluv a faktur'!H11:H101,"=5032",'Přehled smluv a faktur'!K11:K101)</f>
        <v>0</v>
      </c>
      <c r="D11" s="191">
        <f>SUMIF('Přehled smluv a faktur'!H11:H101,"=5032",'Přehled smluv a faktur'!M11:M101)</f>
        <v>0</v>
      </c>
      <c r="E11" s="275">
        <v>6091</v>
      </c>
      <c r="F11" s="187" t="s">
        <v>114</v>
      </c>
      <c r="G11" s="191">
        <f>SUMIF('Přehled smluv a faktur'!I11:I101,"=6091",'Přehled smluv a faktur'!K11:K101)</f>
        <v>0</v>
      </c>
      <c r="H11" s="191">
        <f>SUMIF('Přehled smluv a faktur'!I11:I101,"=6091",'Přehled smluv a faktur'!M11:M101)</f>
        <v>0</v>
      </c>
    </row>
    <row r="12" spans="1:8" ht="12">
      <c r="A12" s="275">
        <v>5039</v>
      </c>
      <c r="B12" s="187" t="s">
        <v>113</v>
      </c>
      <c r="C12" s="191">
        <f>SUMIF('Přehled smluv a faktur'!H11:H101,"=5039",'Přehled smluv a faktur'!K11:K101)</f>
        <v>0</v>
      </c>
      <c r="D12" s="191">
        <f>SUMIF('Přehled smluv a faktur'!H11:H101,"=5039",'Přehled smluv a faktur'!M11:M101)</f>
        <v>0</v>
      </c>
      <c r="E12" s="275">
        <v>6092</v>
      </c>
      <c r="F12" s="187" t="s">
        <v>116</v>
      </c>
      <c r="G12" s="191">
        <f>SUMIF('Přehled smluv a faktur'!I11:I101,"=6092",'Přehled smluv a faktur'!K11:K101)</f>
        <v>0</v>
      </c>
      <c r="H12" s="191">
        <f>SUMIF('Přehled smluv a faktur'!I11:I101,"=6092",'Přehled smluv a faktur'!M11:M101)</f>
        <v>0</v>
      </c>
    </row>
    <row r="13" spans="1:8" ht="12">
      <c r="A13" s="276" t="s">
        <v>215</v>
      </c>
      <c r="B13" s="193" t="s">
        <v>115</v>
      </c>
      <c r="C13" s="194">
        <f>SUM(C9:C12)</f>
        <v>0</v>
      </c>
      <c r="D13" s="194">
        <f>SUM(D9:D12)</f>
        <v>0</v>
      </c>
      <c r="E13" s="275">
        <v>6093</v>
      </c>
      <c r="F13" s="187" t="s">
        <v>118</v>
      </c>
      <c r="G13" s="191">
        <f>SUMIF('Přehled smluv a faktur'!I11:I101,"=6093",'Přehled smluv a faktur'!K11:K101)</f>
        <v>0</v>
      </c>
      <c r="H13" s="191">
        <f>SUMIF('Přehled smluv a faktur'!I11:I101,"=6093",'Přehled smluv a faktur'!M11:M101)</f>
        <v>0</v>
      </c>
    </row>
    <row r="14" spans="1:8" ht="12">
      <c r="A14" s="275">
        <v>5050</v>
      </c>
      <c r="B14" s="187" t="s">
        <v>117</v>
      </c>
      <c r="C14" s="191">
        <f>SUMIF('Přehled smluv a faktur'!H11:H101,"=5050",'Přehled smluv a faktur'!K11:K101)</f>
        <v>0</v>
      </c>
      <c r="D14" s="191">
        <f>SUMIF('Přehled smluv a faktur'!H11:H101,"=5050",'Přehled smluv a faktur'!M11:M101)</f>
        <v>0</v>
      </c>
      <c r="E14" s="275">
        <v>6094</v>
      </c>
      <c r="F14" s="187" t="s">
        <v>120</v>
      </c>
      <c r="G14" s="191">
        <f>SUMIF('Přehled smluv a faktur'!I11:I101,"=6094",'Přehled smluv a faktur'!K11:K101)</f>
        <v>0</v>
      </c>
      <c r="H14" s="191">
        <f>SUMIF('Přehled smluv a faktur'!I11:I101,"=6094",'Přehled smluv a faktur'!M11:M101)</f>
        <v>0</v>
      </c>
    </row>
    <row r="15" spans="1:8" ht="12">
      <c r="A15" s="275">
        <v>5051</v>
      </c>
      <c r="B15" s="187" t="s">
        <v>119</v>
      </c>
      <c r="C15" s="191">
        <f>SUMIF('Přehled smluv a faktur'!H11:H101,"=5051",'Přehled smluv a faktur'!K11:K101)</f>
        <v>0</v>
      </c>
      <c r="D15" s="191">
        <f>SUMIF('Přehled smluv a faktur'!H11:H101,"=5051",'Přehled smluv a faktur'!M11:M101)</f>
        <v>0</v>
      </c>
      <c r="E15" s="275">
        <v>6095</v>
      </c>
      <c r="F15" s="187" t="s">
        <v>122</v>
      </c>
      <c r="G15" s="191">
        <f>SUMIF('Přehled smluv a faktur'!I11:I101,"=6095",'Přehled smluv a faktur'!K11:K101)</f>
        <v>0</v>
      </c>
      <c r="H15" s="191">
        <f>SUMIF('Přehled smluv a faktur'!I11:I101,"=6095",'Přehled smluv a faktur'!M11:M101)</f>
        <v>0</v>
      </c>
    </row>
    <row r="16" spans="1:8" ht="12">
      <c r="A16" s="275">
        <v>5052</v>
      </c>
      <c r="B16" s="187" t="s">
        <v>121</v>
      </c>
      <c r="C16" s="191">
        <f>SUMIF('Přehled smluv a faktur'!H11:H101,"=5052",'Přehled smluv a faktur'!K11:K101)</f>
        <v>0</v>
      </c>
      <c r="D16" s="191">
        <f>SUMIF('Přehled smluv a faktur'!H11:H101,"=5052",'Přehled smluv a faktur'!M11:M101)</f>
        <v>0</v>
      </c>
      <c r="E16" s="275">
        <v>6096</v>
      </c>
      <c r="F16" s="187" t="s">
        <v>124</v>
      </c>
      <c r="G16" s="191">
        <f>SUMIF('Přehled smluv a faktur'!I11:I101,"=6096",'Přehled smluv a faktur'!K11:K101)</f>
        <v>0</v>
      </c>
      <c r="H16" s="191">
        <f>SUMIF('Přehled smluv a faktur'!I11:I101,"=6096",'Přehled smluv a faktur'!M11:M101)</f>
        <v>0</v>
      </c>
    </row>
    <row r="17" spans="1:8" ht="12">
      <c r="A17" s="275">
        <v>5053</v>
      </c>
      <c r="B17" s="187" t="s">
        <v>123</v>
      </c>
      <c r="C17" s="191">
        <f>SUMIF('Přehled smluv a faktur'!H11:H101,"=5053",'Přehled smluv a faktur'!K11:K101)</f>
        <v>0</v>
      </c>
      <c r="D17" s="191">
        <f>SUMIF('Přehled smluv a faktur'!H11:H101,"=5053",'Přehled smluv a faktur'!M11:M101)</f>
        <v>0</v>
      </c>
      <c r="E17" s="275">
        <v>6097</v>
      </c>
      <c r="F17" s="187" t="s">
        <v>126</v>
      </c>
      <c r="G17" s="191">
        <f>SUMIF('Přehled smluv a faktur'!I11:I101,"=6097",'Přehled smluv a faktur'!K11:K101)</f>
        <v>0</v>
      </c>
      <c r="H17" s="191">
        <f>SUMIF('Přehled smluv a faktur'!I11:I101,"=6097",'Přehled smluv a faktur'!M11:M101)</f>
        <v>0</v>
      </c>
    </row>
    <row r="18" spans="1:8" ht="12">
      <c r="A18" s="275">
        <v>5054</v>
      </c>
      <c r="B18" s="187" t="s">
        <v>125</v>
      </c>
      <c r="C18" s="191">
        <f>SUMIF('Přehled smluv a faktur'!H11:H101,"=5054",'Přehled smluv a faktur'!K11:K101)</f>
        <v>0</v>
      </c>
      <c r="D18" s="191">
        <f>SUMIF('Přehled smluv a faktur'!H11:H101,"=5054",'Přehled smluv a faktur'!M11:M101)</f>
        <v>0</v>
      </c>
      <c r="E18" s="275">
        <v>6099</v>
      </c>
      <c r="F18" s="187" t="s">
        <v>128</v>
      </c>
      <c r="G18" s="191">
        <f>SUMIF('Přehled smluv a faktur'!I11:I101,"=6099",'Přehled smluv a faktur'!K11:K101)</f>
        <v>0</v>
      </c>
      <c r="H18" s="191">
        <f>SUMIF('Přehled smluv a faktur'!I11:I101,"=6099",'Přehled smluv a faktur'!M11:M101)</f>
        <v>0</v>
      </c>
    </row>
    <row r="19" spans="1:8" ht="12">
      <c r="A19" s="275">
        <v>5055</v>
      </c>
      <c r="B19" s="187" t="s">
        <v>127</v>
      </c>
      <c r="C19" s="191">
        <f>SUMIF('Přehled smluv a faktur'!H11:H101,"=5055",'Přehled smluv a faktur'!K11:K101)</f>
        <v>0</v>
      </c>
      <c r="D19" s="191">
        <f>SUMIF('Přehled smluv a faktur'!H11:H101,"=5055",'Přehled smluv a faktur'!M11:M101)</f>
        <v>0</v>
      </c>
      <c r="E19" s="192" t="s">
        <v>230</v>
      </c>
      <c r="F19" s="193" t="s">
        <v>130</v>
      </c>
      <c r="G19" s="195">
        <f>SUM(G10:G18)</f>
        <v>0</v>
      </c>
      <c r="H19" s="195">
        <f>SUM(H10:H18)</f>
        <v>0</v>
      </c>
    </row>
    <row r="20" spans="1:8" ht="12">
      <c r="A20" s="275">
        <v>5056</v>
      </c>
      <c r="B20" s="187" t="s">
        <v>129</v>
      </c>
      <c r="C20" s="191">
        <f>SUMIF('Přehled smluv a faktur'!H11:H101,"=5056",'Přehled smluv a faktur'!K11:K101)</f>
        <v>0</v>
      </c>
      <c r="D20" s="191">
        <f>SUMIF('Přehled smluv a faktur'!H11:H101,"=5056",'Přehled smluv a faktur'!M11:M101)</f>
        <v>0</v>
      </c>
      <c r="E20" s="275">
        <v>6110</v>
      </c>
      <c r="F20" s="187" t="s">
        <v>132</v>
      </c>
      <c r="G20" s="191">
        <f>SUMIF('Přehled smluv a faktur'!I11:I101,"=6110",'Přehled smluv a faktur'!K11:K101)</f>
        <v>0</v>
      </c>
      <c r="H20" s="191">
        <f>SUMIF('Přehled smluv a faktur'!I11:I101,"=6110",'Přehled smluv a faktur'!M11:M101)</f>
        <v>0</v>
      </c>
    </row>
    <row r="21" spans="1:8" ht="12">
      <c r="A21" s="275">
        <v>5057</v>
      </c>
      <c r="B21" s="187" t="s">
        <v>131</v>
      </c>
      <c r="C21" s="191">
        <f>SUMIF('Přehled smluv a faktur'!H11:H101,"=5057",'Přehled smluv a faktur'!K11:K101)</f>
        <v>0</v>
      </c>
      <c r="D21" s="191">
        <f>SUMIF('Přehled smluv a faktur'!H11:H101,"=5057",'Přehled smluv a faktur'!M11:M101)</f>
        <v>0</v>
      </c>
      <c r="E21" s="275">
        <v>6111</v>
      </c>
      <c r="F21" s="187" t="s">
        <v>134</v>
      </c>
      <c r="G21" s="191">
        <f>SUMIF('Přehled smluv a faktur'!I11:I101,"=6111",'Přehled smluv a faktur'!K11:K101)</f>
        <v>0</v>
      </c>
      <c r="H21" s="191">
        <f>SUMIF('Přehled smluv a faktur'!I11:I101,"=6111",'Přehled smluv a faktur'!M11:M101)</f>
        <v>0</v>
      </c>
    </row>
    <row r="22" spans="1:8" ht="12">
      <c r="A22" s="275">
        <v>5058</v>
      </c>
      <c r="B22" s="187" t="s">
        <v>133</v>
      </c>
      <c r="C22" s="191">
        <f>SUMIF('Přehled smluv a faktur'!H11:H101,"=5058",'Přehled smluv a faktur'!K11:K101)</f>
        <v>0</v>
      </c>
      <c r="D22" s="191">
        <f>SUMIF('Přehled smluv a faktur'!H11:H101,"=5058",'Přehled smluv a faktur'!M11:M101)</f>
        <v>0</v>
      </c>
      <c r="E22" s="275">
        <v>6112</v>
      </c>
      <c r="F22" s="187" t="s">
        <v>136</v>
      </c>
      <c r="G22" s="191">
        <f>SUMIF('Přehled smluv a faktur'!I11:I101,"=6112",'Přehled smluv a faktur'!K11:K101)</f>
        <v>0</v>
      </c>
      <c r="H22" s="191">
        <f>SUMIF('Přehled smluv a faktur'!I11:I101,"=6112",'Přehled smluv a faktur'!M11:M101)</f>
        <v>0</v>
      </c>
    </row>
    <row r="23" spans="1:8" ht="12">
      <c r="A23" s="192" t="s">
        <v>216</v>
      </c>
      <c r="B23" s="193" t="s">
        <v>135</v>
      </c>
      <c r="C23" s="194">
        <f>SUM(C14:C22)</f>
        <v>0</v>
      </c>
      <c r="D23" s="194">
        <f>SUM(D14:D22)</f>
        <v>0</v>
      </c>
      <c r="E23" s="275">
        <v>6113</v>
      </c>
      <c r="F23" s="187" t="s">
        <v>138</v>
      </c>
      <c r="G23" s="191">
        <f>SUMIF('Přehled smluv a faktur'!I11:I101,"=6113",'Přehled smluv a faktur'!K11:K101)</f>
        <v>0</v>
      </c>
      <c r="H23" s="191">
        <f>SUMIF('Přehled smluv a faktur'!I11:I101,"=6113",'Přehled smluv a faktur'!M11:M101)</f>
        <v>0</v>
      </c>
    </row>
    <row r="24" spans="1:8" ht="12">
      <c r="A24" s="275">
        <v>5070</v>
      </c>
      <c r="B24" s="187" t="s">
        <v>137</v>
      </c>
      <c r="C24" s="191">
        <f>SUMIF('Přehled smluv a faktur'!H11:H101,"=5070",'Přehled smluv a faktur'!K11:K101)</f>
        <v>0</v>
      </c>
      <c r="D24" s="191">
        <f>SUMIF('Přehled smluv a faktur'!H11:H101,"=5070",'Přehled smluv a faktur'!M11:M101)</f>
        <v>0</v>
      </c>
      <c r="E24" s="275">
        <v>6114</v>
      </c>
      <c r="F24" s="187" t="s">
        <v>140</v>
      </c>
      <c r="G24" s="191">
        <f>SUMIF('Přehled smluv a faktur'!I11:I101,"=6114",'Přehled smluv a faktur'!K11:K101)</f>
        <v>0</v>
      </c>
      <c r="H24" s="191">
        <f>SUMIF('Přehled smluv a faktur'!I11:I101,"=6114",'Přehled smluv a faktur'!M11:M101)</f>
        <v>0</v>
      </c>
    </row>
    <row r="25" spans="1:8" ht="12">
      <c r="A25" s="275">
        <v>5071</v>
      </c>
      <c r="B25" s="187" t="s">
        <v>139</v>
      </c>
      <c r="C25" s="191">
        <f>SUMIF('Přehled smluv a faktur'!H11:H101,"=5071",'Přehled smluv a faktur'!K11:K101)</f>
        <v>0</v>
      </c>
      <c r="D25" s="191">
        <f>SUMIF('Přehled smluv a faktur'!H11:H101,"=5071",'Přehled smluv a faktur'!M11:M101)</f>
        <v>0</v>
      </c>
      <c r="E25" s="275">
        <v>6115</v>
      </c>
      <c r="F25" s="187" t="s">
        <v>231</v>
      </c>
      <c r="G25" s="191">
        <f>SUMIF('Přehled smluv a faktur'!I11:I101,"=6115",'Přehled smluv a faktur'!K11:K101)</f>
        <v>0</v>
      </c>
      <c r="H25" s="191">
        <f>SUMIF('Přehled smluv a faktur'!I11:I101,"=6115",'Přehled smluv a faktur'!M11:M101)</f>
        <v>0</v>
      </c>
    </row>
    <row r="26" spans="1:8" ht="12">
      <c r="A26" s="275">
        <v>5072</v>
      </c>
      <c r="B26" s="187" t="s">
        <v>141</v>
      </c>
      <c r="C26" s="191">
        <f>SUMIF('Přehled smluv a faktur'!H11:H101,"=5072",'Přehled smluv a faktur'!K11:K101)</f>
        <v>0</v>
      </c>
      <c r="D26" s="191">
        <f>SUMIF('Přehled smluv a faktur'!H11:H101,"=5072",'Přehled smluv a faktur'!M11:M101)</f>
        <v>0</v>
      </c>
      <c r="E26" s="275">
        <v>6116</v>
      </c>
      <c r="F26" s="187" t="s">
        <v>143</v>
      </c>
      <c r="G26" s="191">
        <f>SUMIF('Přehled smluv a faktur'!I11:I101,"=6116",'Přehled smluv a faktur'!K11:K101)</f>
        <v>0</v>
      </c>
      <c r="H26" s="191">
        <f>SUMIF('Přehled smluv a faktur'!I11:I101,"=6116",'Přehled smluv a faktur'!M11:M101)</f>
        <v>0</v>
      </c>
    </row>
    <row r="27" spans="1:8" ht="12">
      <c r="A27" s="275">
        <v>5073</v>
      </c>
      <c r="B27" s="187" t="s">
        <v>142</v>
      </c>
      <c r="C27" s="191">
        <f>SUMIF('Přehled smluv a faktur'!H11:H101,"=5073",'Přehled smluv a faktur'!K11:K101)</f>
        <v>0</v>
      </c>
      <c r="D27" s="191">
        <f>SUMIF('Přehled smluv a faktur'!H11:H101,"=5073",'Přehled smluv a faktur'!M11:M101)</f>
        <v>0</v>
      </c>
      <c r="E27" s="275">
        <v>6117</v>
      </c>
      <c r="F27" s="187" t="s">
        <v>145</v>
      </c>
      <c r="G27" s="191">
        <f>SUMIF('Přehled smluv a faktur'!I11:I101,"=6117",'Přehled smluv a faktur'!K11:K101)</f>
        <v>0</v>
      </c>
      <c r="H27" s="191">
        <f>SUMIF('Přehled smluv a faktur'!I11:I101,"=6117",'Přehled smluv a faktur'!M11:M101)</f>
        <v>0</v>
      </c>
    </row>
    <row r="28" spans="1:8" ht="12">
      <c r="A28" s="275">
        <v>5074</v>
      </c>
      <c r="B28" s="187" t="s">
        <v>144</v>
      </c>
      <c r="C28" s="191">
        <f>SUMIF('Přehled smluv a faktur'!H11:H101,"=5074",'Přehled smluv a faktur'!K11:K101)</f>
        <v>0</v>
      </c>
      <c r="D28" s="191">
        <f>SUMIF('Přehled smluv a faktur'!H11:H101,"=5074",'Přehled smluv a faktur'!M11:M101)</f>
        <v>0</v>
      </c>
      <c r="E28" s="275">
        <v>6119</v>
      </c>
      <c r="F28" s="187" t="s">
        <v>147</v>
      </c>
      <c r="G28" s="191">
        <f>SUMIF('Přehled smluv a faktur'!I11:I101,"=6119",'Přehled smluv a faktur'!K11:K101)</f>
        <v>0</v>
      </c>
      <c r="H28" s="191">
        <f>SUMIF('Přehled smluv a faktur'!I11:I101,"=6119",'Přehled smluv a faktur'!M11:M101)</f>
        <v>0</v>
      </c>
    </row>
    <row r="29" spans="1:8" ht="12">
      <c r="A29" s="275">
        <v>5075</v>
      </c>
      <c r="B29" s="187" t="s">
        <v>146</v>
      </c>
      <c r="C29" s="191">
        <f>SUMIF('Přehled smluv a faktur'!H11:H101,"=5075",'Přehled smluv a faktur'!K11:K101)</f>
        <v>0</v>
      </c>
      <c r="D29" s="191">
        <f>SUMIF('Přehled smluv a faktur'!H11:H101,"=5075",'Přehled smluv a faktur'!M11:M101)</f>
        <v>0</v>
      </c>
      <c r="E29" s="192" t="s">
        <v>232</v>
      </c>
      <c r="F29" s="193" t="s">
        <v>149</v>
      </c>
      <c r="G29" s="195">
        <f>SUM(G20:G28)</f>
        <v>0</v>
      </c>
      <c r="H29" s="195">
        <f>SUM(H20:H28)</f>
        <v>0</v>
      </c>
    </row>
    <row r="30" spans="1:8" ht="12">
      <c r="A30" s="275">
        <v>5076</v>
      </c>
      <c r="B30" s="187" t="s">
        <v>148</v>
      </c>
      <c r="C30" s="191">
        <f>SUMIF('Přehled smluv a faktur'!H11:H101,"=5076",'Přehled smluv a faktur'!K11:K101)</f>
        <v>0</v>
      </c>
      <c r="D30" s="191">
        <f>SUMIF('Přehled smluv a faktur'!H11:H101,"=5076",'Přehled smluv a faktur'!M11:M101)</f>
        <v>0</v>
      </c>
      <c r="E30" s="275">
        <v>6130</v>
      </c>
      <c r="F30" s="187" t="s">
        <v>151</v>
      </c>
      <c r="G30" s="191">
        <f>SUMIF('Přehled smluv a faktur'!I11:I101,"=6130",'Přehled smluv a faktur'!K11:K101)</f>
        <v>0</v>
      </c>
      <c r="H30" s="191">
        <f>SUMIF('Přehled smluv a faktur'!H11:H101,"=6130",'Přehled smluv a faktur'!P11:HZ101)</f>
        <v>0</v>
      </c>
    </row>
    <row r="31" spans="1:8" ht="12">
      <c r="A31" s="275">
        <v>5077</v>
      </c>
      <c r="B31" s="187" t="s">
        <v>150</v>
      </c>
      <c r="C31" s="191">
        <f>SUMIF('Přehled smluv a faktur'!H11:H101,"=5077",'Přehled smluv a faktur'!K11:K101)</f>
        <v>0</v>
      </c>
      <c r="D31" s="191">
        <f>SUMIF('Přehled smluv a faktur'!H11:H101,"=5077",'Přehled smluv a faktur'!M11:M101)</f>
        <v>0</v>
      </c>
      <c r="E31" s="275">
        <v>6131</v>
      </c>
      <c r="F31" s="187" t="s">
        <v>153</v>
      </c>
      <c r="G31" s="191">
        <f>SUMIF('Přehled smluv a faktur'!I11:I101,"=6131",'Přehled smluv a faktur'!K11:K101)</f>
        <v>0</v>
      </c>
      <c r="H31" s="191">
        <f>SUMIF('Přehled smluv a faktur'!I11:I101,"=6131",'Přehled smluv a faktur'!M11:M101)</f>
        <v>0</v>
      </c>
    </row>
    <row r="32" spans="1:8" ht="12">
      <c r="A32" s="275">
        <v>5078</v>
      </c>
      <c r="B32" s="187" t="s">
        <v>152</v>
      </c>
      <c r="C32" s="191">
        <f>SUMIF('Přehled smluv a faktur'!H11:H101,"=5078",'Přehled smluv a faktur'!K11:K101)</f>
        <v>0</v>
      </c>
      <c r="D32" s="191">
        <f>SUMIF('Přehled smluv a faktur'!H11:H101,"=5078",'Přehled smluv a faktur'!M11:M101)</f>
        <v>0</v>
      </c>
      <c r="E32" s="275">
        <v>6132</v>
      </c>
      <c r="F32" s="187" t="s">
        <v>155</v>
      </c>
      <c r="G32" s="191">
        <f>SUMIF('Přehled smluv a faktur'!I11:I101,"=6132",'Přehled smluv a faktur'!K11:K101)</f>
        <v>0</v>
      </c>
      <c r="H32" s="191">
        <f>SUMIF('Přehled smluv a faktur'!I11:I101,"=6132",'Přehled smluv a faktur'!M11:M101)</f>
        <v>0</v>
      </c>
    </row>
    <row r="33" spans="1:8" ht="12">
      <c r="A33" s="192" t="s">
        <v>217</v>
      </c>
      <c r="B33" s="193" t="s">
        <v>154</v>
      </c>
      <c r="C33" s="194">
        <f>SUM(C24:C32)</f>
        <v>0</v>
      </c>
      <c r="D33" s="194">
        <f>SUM(D24:D32)</f>
        <v>0</v>
      </c>
      <c r="E33" s="275">
        <v>6133</v>
      </c>
      <c r="F33" s="187" t="s">
        <v>156</v>
      </c>
      <c r="G33" s="191">
        <f>SUMIF('Přehled smluv a faktur'!I11:I101,"=6133",'Přehled smluv a faktur'!K11:K101)</f>
        <v>0</v>
      </c>
      <c r="H33" s="191">
        <f>SUMIF('Přehled smluv a faktur'!I11:I101,"=6133",'Přehled smluv a faktur'!M11:M101)</f>
        <v>0</v>
      </c>
    </row>
    <row r="34" spans="1:8" ht="12">
      <c r="A34" s="277">
        <v>5090</v>
      </c>
      <c r="B34" s="278" t="s">
        <v>218</v>
      </c>
      <c r="C34" s="279">
        <f>SUMIF('Přehled smluv a faktur'!H11:H101,"=5090",'Přehled smluv a faktur'!K11:K101)</f>
        <v>0</v>
      </c>
      <c r="D34" s="191">
        <f>SUMIF('Přehled smluv a faktur'!H11:H101,"=5090",'Přehled smluv a faktur'!M11:M101)</f>
        <v>0</v>
      </c>
      <c r="E34" s="275">
        <v>6139</v>
      </c>
      <c r="F34" s="187" t="s">
        <v>157</v>
      </c>
      <c r="G34" s="191">
        <f>SUMIF('Přehled smluv a faktur'!I11:I101,"=6139",'Přehled smluv a faktur'!K11:K101)</f>
        <v>0</v>
      </c>
      <c r="H34" s="191">
        <f>SUMIF('Přehled smluv a faktur'!I11:I101,"=6139",'Přehled smluv a faktur'!M11:M101)</f>
        <v>0</v>
      </c>
    </row>
    <row r="35" spans="1:8" ht="12">
      <c r="A35" s="275">
        <v>5091</v>
      </c>
      <c r="B35" s="187" t="s">
        <v>114</v>
      </c>
      <c r="C35" s="191">
        <f>SUMIF('Přehled smluv a faktur'!H11:H101,"=5091",'Přehled smluv a faktur'!K11:K101)</f>
        <v>0</v>
      </c>
      <c r="D35" s="191">
        <f>SUMIF('Přehled smluv a faktur'!H11:H101,"=5091",'Přehled smluv a faktur'!M11:M101)</f>
        <v>0</v>
      </c>
      <c r="E35" s="196" t="s">
        <v>233</v>
      </c>
      <c r="F35" s="193" t="s">
        <v>158</v>
      </c>
      <c r="G35" s="195">
        <f>SUM(G30:G34)</f>
        <v>0</v>
      </c>
      <c r="H35" s="195">
        <f>SUM(H30:H34)</f>
        <v>0</v>
      </c>
    </row>
    <row r="36" spans="1:8" ht="12">
      <c r="A36" s="275">
        <v>5093</v>
      </c>
      <c r="B36" s="187" t="s">
        <v>118</v>
      </c>
      <c r="C36" s="191">
        <f>SUMIF('Přehled smluv a faktur'!H11:H101,"=5093",'Přehled smluv a faktur'!K11:K101)</f>
        <v>0</v>
      </c>
      <c r="D36" s="191">
        <f>SUMIF('Přehled smluv a faktur'!H11:H101,"=5093",'Přehled smluv a faktur'!M11:M101)</f>
        <v>0</v>
      </c>
      <c r="E36" s="275">
        <v>6150</v>
      </c>
      <c r="F36" s="187" t="s">
        <v>159</v>
      </c>
      <c r="G36" s="191">
        <f>SUMIF('Přehled smluv a faktur'!I11:I101,"=6150",'Přehled smluv a faktur'!K11:K101)</f>
        <v>0</v>
      </c>
      <c r="H36" s="191">
        <f>SUMIF('Přehled smluv a faktur'!I11:I101,"=6150",'Přehled smluv a faktur'!M11:M101)</f>
        <v>0</v>
      </c>
    </row>
    <row r="37" spans="1:8" ht="12">
      <c r="A37" s="275">
        <v>5095</v>
      </c>
      <c r="B37" s="187" t="s">
        <v>122</v>
      </c>
      <c r="C37" s="191">
        <f>SUMIF('Přehled smluv a faktur'!H11:H101,"=5095",'Přehled smluv a faktur'!K11:K101)</f>
        <v>0</v>
      </c>
      <c r="D37" s="191">
        <f>SUMIF('Přehled smluv a faktur'!H11:H101,"=5095",'Přehled smluv a faktur'!M11:M101)</f>
        <v>0</v>
      </c>
      <c r="E37" s="275">
        <v>6151</v>
      </c>
      <c r="F37" s="187" t="s">
        <v>161</v>
      </c>
      <c r="G37" s="191">
        <f>SUMIF('Přehled smluv a faktur'!I11:I101,"=6151",'Přehled smluv a faktur'!K11:K101)</f>
        <v>0</v>
      </c>
      <c r="H37" s="191">
        <f>SUMIF('Přehled smluv a faktur'!I11:I101,"=6151",'Přehled smluv a faktur'!M11:M101)</f>
        <v>0</v>
      </c>
    </row>
    <row r="38" spans="1:8" ht="12">
      <c r="A38" s="275">
        <v>5099</v>
      </c>
      <c r="B38" s="187" t="s">
        <v>128</v>
      </c>
      <c r="C38" s="191">
        <f>SUMIF('Přehled smluv a faktur'!H11:H101,"=5099",'Přehled smluv a faktur'!K11:K101)</f>
        <v>0</v>
      </c>
      <c r="D38" s="191">
        <f>SUMIF('Přehled smluv a faktur'!H11:H101,"=5099",'Přehled smluv a faktur'!M11:M101)</f>
        <v>0</v>
      </c>
      <c r="E38" s="275">
        <v>6152</v>
      </c>
      <c r="F38" s="187" t="s">
        <v>162</v>
      </c>
      <c r="G38" s="191">
        <f>SUMIF('Přehled smluv a faktur'!I11:I101,"=6152",'Přehled smluv a faktur'!K11:K101)</f>
        <v>0</v>
      </c>
      <c r="H38" s="191">
        <f>SUMIF('Přehled smluv a faktur'!I11:I101,"=6152",'Přehled smluv a faktur'!M11:M101)</f>
        <v>0</v>
      </c>
    </row>
    <row r="39" spans="1:8" ht="12">
      <c r="A39" s="192" t="s">
        <v>219</v>
      </c>
      <c r="B39" s="193" t="s">
        <v>160</v>
      </c>
      <c r="C39" s="194">
        <f>SUM(C34:C38)</f>
        <v>0</v>
      </c>
      <c r="D39" s="194">
        <f>SUM(D34:D38)</f>
        <v>0</v>
      </c>
      <c r="E39" s="275">
        <v>6153</v>
      </c>
      <c r="F39" s="187" t="s">
        <v>126</v>
      </c>
      <c r="G39" s="191">
        <f>SUMIF('Přehled smluv a faktur'!I11:I101,"=6153",'Přehled smluv a faktur'!K11:K101)</f>
        <v>0</v>
      </c>
      <c r="H39" s="191">
        <f>SUMIF('Přehled smluv a faktur'!I11:I101,"=6153",'Přehled smluv a faktur'!M11:M101)</f>
        <v>0</v>
      </c>
    </row>
    <row r="40" spans="1:8" ht="12">
      <c r="A40" s="275">
        <v>5110</v>
      </c>
      <c r="B40" s="187" t="s">
        <v>132</v>
      </c>
      <c r="C40" s="191">
        <f>SUMIF('Přehled smluv a faktur'!H11:H101,"=5110",'Přehled smluv a faktur'!K11:K101)</f>
        <v>0</v>
      </c>
      <c r="D40" s="191">
        <f>SUMIF('Přehled smluv a faktur'!H11:H101,"=5110",'Přehled smluv a faktur'!M11:M101)</f>
        <v>0</v>
      </c>
      <c r="E40" s="275">
        <v>6154</v>
      </c>
      <c r="F40" s="187" t="s">
        <v>163</v>
      </c>
      <c r="G40" s="191">
        <f>SUMIF('Přehled smluv a faktur'!I11:I101,"=6154",'Přehled smluv a faktur'!K11:K101)</f>
        <v>0</v>
      </c>
      <c r="H40" s="191">
        <f>SUMIF('Přehled smluv a faktur'!I11:I101,"=6154",'Přehled smluv a faktur'!M11:M101)</f>
        <v>0</v>
      </c>
    </row>
    <row r="41" spans="1:8" ht="12">
      <c r="A41" s="275">
        <v>5111</v>
      </c>
      <c r="B41" s="187" t="s">
        <v>134</v>
      </c>
      <c r="C41" s="191">
        <f>SUMIF('Přehled smluv a faktur'!H11:H101,"=5111",'Přehled smluv a faktur'!K11:K101)</f>
        <v>0</v>
      </c>
      <c r="D41" s="191">
        <f>SUMIF('Přehled smluv a faktur'!H11:H101,"=5111",'Přehled smluv a faktur'!M11:M101)</f>
        <v>0</v>
      </c>
      <c r="E41" s="275">
        <v>6155</v>
      </c>
      <c r="F41" s="187" t="s">
        <v>164</v>
      </c>
      <c r="G41" s="191">
        <f>SUMIF('Přehled smluv a faktur'!I11:I101,"=6155",'Přehled smluv a faktur'!K11:K101)</f>
        <v>0</v>
      </c>
      <c r="H41" s="191">
        <f>SUMIF('Přehled smluv a faktur'!I11:I101,"=6155",'Přehled smluv a faktur'!M11:M101)</f>
        <v>0</v>
      </c>
    </row>
    <row r="42" spans="1:8" ht="12">
      <c r="A42" s="275">
        <v>5112</v>
      </c>
      <c r="B42" s="187" t="s">
        <v>136</v>
      </c>
      <c r="C42" s="191">
        <f>SUMIF('Přehled smluv a faktur'!H11:H101,"=5112",'Přehled smluv a faktur'!K11:K101)</f>
        <v>0</v>
      </c>
      <c r="D42" s="191">
        <f>SUMIF('Přehled smluv a faktur'!H11:H101,"=5112",'Přehled smluv a faktur'!M11:M101)</f>
        <v>0</v>
      </c>
      <c r="E42" s="275">
        <v>6156</v>
      </c>
      <c r="F42" s="187" t="s">
        <v>165</v>
      </c>
      <c r="G42" s="191">
        <f>SUMIF('Přehled smluv a faktur'!I11:I101,"=6156",'Přehled smluv a faktur'!K11:K101)</f>
        <v>0</v>
      </c>
      <c r="H42" s="191">
        <f>SUMIF('Přehled smluv a faktur'!I11:I101,"=6156",'Přehled smluv a faktur'!M11:M101)</f>
        <v>0</v>
      </c>
    </row>
    <row r="43" spans="1:8" ht="12">
      <c r="A43" s="275">
        <v>5113</v>
      </c>
      <c r="B43" s="187" t="s">
        <v>138</v>
      </c>
      <c r="C43" s="191">
        <f>SUMIF('Přehled smluv a faktur'!H11:H101,"=5113",'Přehled smluv a faktur'!K11:K101)</f>
        <v>0</v>
      </c>
      <c r="D43" s="191">
        <f>SUMIF('Přehled smluv a faktur'!H11:H101,"=5113",'Přehled smluv a faktur'!M11:M101)</f>
        <v>0</v>
      </c>
      <c r="E43" s="275">
        <v>6157</v>
      </c>
      <c r="F43" s="187" t="s">
        <v>166</v>
      </c>
      <c r="G43" s="191">
        <f>SUMIF('Přehled smluv a faktur'!I11:I101,"=6157",'Přehled smluv a faktur'!K11:K101)</f>
        <v>0</v>
      </c>
      <c r="H43" s="191">
        <f>SUMIF('Přehled smluv a faktur'!I11:I101,"=6157",'Přehled smluv a faktur'!M11:M101)</f>
        <v>0</v>
      </c>
    </row>
    <row r="44" spans="1:8" ht="12">
      <c r="A44" s="275">
        <v>5114</v>
      </c>
      <c r="B44" s="187" t="s">
        <v>140</v>
      </c>
      <c r="C44" s="191">
        <f>SUMIF('Přehled smluv a faktur'!H11:H101,"=5114",'Přehled smluv a faktur'!K11:K101)</f>
        <v>0</v>
      </c>
      <c r="D44" s="191">
        <f>SUMIF('Přehled smluv a faktur'!H11:H101,"=5114",'Přehled smluv a faktur'!M11:M101)</f>
        <v>0</v>
      </c>
      <c r="E44" s="275">
        <v>6159</v>
      </c>
      <c r="F44" s="187" t="s">
        <v>167</v>
      </c>
      <c r="G44" s="191">
        <f>SUMIF('Přehled smluv a faktur'!I11:I101,"=6159",'Přehled smluv a faktur'!K11:K101)</f>
        <v>0</v>
      </c>
      <c r="H44" s="191">
        <f>SUMIF('Přehled smluv a faktur'!I11:I101,"=6159",'Přehled smluv a faktur'!M11:M101)</f>
        <v>0</v>
      </c>
    </row>
    <row r="45" spans="1:8" ht="12">
      <c r="A45" s="275">
        <v>5115</v>
      </c>
      <c r="B45" s="187" t="s">
        <v>220</v>
      </c>
      <c r="C45" s="191">
        <f>SUMIF('Přehled smluv a faktur'!H11:H101,"=5115",'Přehled smluv a faktur'!K11:K101)</f>
        <v>0</v>
      </c>
      <c r="D45" s="191">
        <f>SUMIF('Přehled smluv a faktur'!H11:H101,"=5115",'Přehled smluv a faktur'!M11:M101)</f>
        <v>0</v>
      </c>
      <c r="E45" s="193" t="s">
        <v>234</v>
      </c>
      <c r="F45" s="193" t="s">
        <v>225</v>
      </c>
      <c r="G45" s="195">
        <f>SUM(G36:G44)</f>
        <v>0</v>
      </c>
      <c r="H45" s="195">
        <f>SUM(H36:H44)</f>
        <v>0</v>
      </c>
    </row>
    <row r="46" spans="1:8" ht="12">
      <c r="A46" s="275">
        <v>5116</v>
      </c>
      <c r="B46" s="187" t="s">
        <v>143</v>
      </c>
      <c r="C46" s="191">
        <f>SUMIF('Přehled smluv a faktur'!H11:H101,"=5116",'Přehled smluv a faktur'!K11:K101)</f>
        <v>0</v>
      </c>
      <c r="D46" s="191">
        <f>SUMIF('Přehled smluv a faktur'!H11:H101,"=5116",'Přehled smluv a faktur'!M11:M101)</f>
        <v>0</v>
      </c>
      <c r="E46" s="275">
        <v>6170</v>
      </c>
      <c r="F46" s="187" t="s">
        <v>168</v>
      </c>
      <c r="G46" s="191">
        <f>SUMIF('Přehled smluv a faktur'!I11:I101,"=6170",'Přehled smluv a faktur'!K11:K101)</f>
        <v>0</v>
      </c>
      <c r="H46" s="191">
        <f>SUMIF('Přehled smluv a faktur'!I11:I101,"=6170",'Přehled smluv a faktur'!M11:M101)</f>
        <v>0</v>
      </c>
    </row>
    <row r="47" spans="1:8" ht="12">
      <c r="A47" s="275">
        <v>5117</v>
      </c>
      <c r="B47" s="187" t="s">
        <v>145</v>
      </c>
      <c r="C47" s="191">
        <f>SUMIF('Přehled smluv a faktur'!H11:H101,"=5117",'Přehled smluv a faktur'!K11:K101)</f>
        <v>0</v>
      </c>
      <c r="D47" s="191">
        <f>SUMIF('Přehled smluv a faktur'!H11:H101,"=5117",'Přehled smluv a faktur'!M11:M101)</f>
        <v>0</v>
      </c>
      <c r="E47" s="275">
        <v>6171</v>
      </c>
      <c r="F47" s="187" t="s">
        <v>169</v>
      </c>
      <c r="G47" s="191">
        <f>SUMIF('Přehled smluv a faktur'!I11:I101,"=6171",'Přehled smluv a faktur'!K11:K101)</f>
        <v>0</v>
      </c>
      <c r="H47" s="191">
        <f>SUMIF('Přehled smluv a faktur'!I11:I101,"=6171",'Přehled smluv a faktur'!M11:M101)</f>
        <v>0</v>
      </c>
    </row>
    <row r="48" spans="1:8" ht="12">
      <c r="A48" s="275">
        <v>5119</v>
      </c>
      <c r="B48" s="187" t="s">
        <v>147</v>
      </c>
      <c r="C48" s="191">
        <f>SUMIF('Přehled smluv a faktur'!H11:H101,"=5119",'Přehled smluv a faktur'!K11:K101)</f>
        <v>0</v>
      </c>
      <c r="D48" s="191">
        <f>SUMIF('Přehled smluv a faktur'!H11:H101,"=5119",'Přehled smluv a faktur'!M11:M101)</f>
        <v>0</v>
      </c>
      <c r="E48" s="275">
        <v>6172</v>
      </c>
      <c r="F48" s="187" t="s">
        <v>170</v>
      </c>
      <c r="G48" s="191">
        <f>SUMIF('Přehled smluv a faktur'!I11:I101,"=6172",'Přehled smluv a faktur'!K11:K101)</f>
        <v>0</v>
      </c>
      <c r="H48" s="191">
        <f>SUMIF('Přehled smluv a faktur'!I11:I101,"=6172",'Přehled smluv a faktur'!M11:M101)</f>
        <v>0</v>
      </c>
    </row>
    <row r="49" spans="1:8" ht="12">
      <c r="A49" s="192" t="s">
        <v>221</v>
      </c>
      <c r="B49" s="193" t="s">
        <v>149</v>
      </c>
      <c r="C49" s="194">
        <f>SUM(C40:C48)</f>
        <v>0</v>
      </c>
      <c r="D49" s="194">
        <f>SUM(D40:D48)</f>
        <v>0</v>
      </c>
      <c r="E49" s="275">
        <v>6179</v>
      </c>
      <c r="F49" s="187" t="s">
        <v>171</v>
      </c>
      <c r="G49" s="191">
        <f>SUMIF('Přehled smluv a faktur'!I11:I101,"=6179",'Přehled smluv a faktur'!K11:K101)</f>
        <v>0</v>
      </c>
      <c r="H49" s="191">
        <f>SUMIF('Přehled smluv a faktur'!I11:I101,"=6179",'Přehled smluv a faktur'!M11:M101)</f>
        <v>0</v>
      </c>
    </row>
    <row r="50" spans="1:8" ht="12">
      <c r="A50" s="275">
        <v>5130</v>
      </c>
      <c r="B50" s="187" t="s">
        <v>151</v>
      </c>
      <c r="C50" s="191">
        <f>SUMIF('Přehled smluv a faktur'!H11:H101,"=5130",'Přehled smluv a faktur'!K11:K101)</f>
        <v>0</v>
      </c>
      <c r="D50" s="191">
        <f>SUMIF('Přehled smluv a faktur'!H11:H101,"=5130",'Přehled smluv a faktur'!M11:M101)</f>
        <v>0</v>
      </c>
      <c r="E50" s="193" t="s">
        <v>235</v>
      </c>
      <c r="F50" s="193" t="s">
        <v>172</v>
      </c>
      <c r="G50" s="195">
        <f>SUM(G46:G49)</f>
        <v>0</v>
      </c>
      <c r="H50" s="195">
        <f>SUM(H46:H49)</f>
        <v>0</v>
      </c>
    </row>
    <row r="51" spans="1:8" ht="12">
      <c r="A51" s="275">
        <v>5131</v>
      </c>
      <c r="B51" s="187" t="s">
        <v>153</v>
      </c>
      <c r="C51" s="191">
        <f>SUMIF('Přehled smluv a faktur'!H11:H101,"=5131",'Přehled smluv a faktur'!K11:K101)</f>
        <v>0</v>
      </c>
      <c r="D51" s="191">
        <f>SUMIF('Přehled smluv a faktur'!H11:H101,"=5131",'Přehled smluv a faktur'!M11:M101)</f>
        <v>0</v>
      </c>
      <c r="E51" s="193" t="s">
        <v>236</v>
      </c>
      <c r="F51" s="188" t="s">
        <v>174</v>
      </c>
      <c r="G51" s="195">
        <f>G50+G45+G35+G29+G19+G9</f>
        <v>0</v>
      </c>
      <c r="H51" s="195">
        <f>H50+H45+H35+H29+H19+H9</f>
        <v>15001</v>
      </c>
    </row>
    <row r="52" spans="1:4" ht="12">
      <c r="A52" s="275">
        <v>5132</v>
      </c>
      <c r="B52" s="187" t="s">
        <v>155</v>
      </c>
      <c r="C52" s="191">
        <f>SUMIF('Přehled smluv a faktur'!H11:H101,"=5132",'Přehled smluv a faktur'!K11:K101)</f>
        <v>0</v>
      </c>
      <c r="D52" s="191">
        <f>SUMIF('Přehled smluv a faktur'!H11:H101,"=5132",'Přehled smluv a faktur'!M11:M101)</f>
        <v>0</v>
      </c>
    </row>
    <row r="53" spans="1:8" ht="12">
      <c r="A53" s="275">
        <v>5133</v>
      </c>
      <c r="B53" s="187" t="s">
        <v>222</v>
      </c>
      <c r="C53" s="191">
        <f>SUMIF('Přehled smluv a faktur'!H11:H101,"=5133",'Přehled smluv a faktur'!K11:K101)</f>
        <v>0</v>
      </c>
      <c r="D53" s="191">
        <f>SUMIF('Přehled smluv a faktur'!H11:H101,"=5133",'Přehled smluv a faktur'!M11:M101)</f>
        <v>0</v>
      </c>
      <c r="E53" s="190"/>
      <c r="F53" s="187"/>
      <c r="G53" s="191"/>
      <c r="H53" s="191"/>
    </row>
    <row r="54" spans="1:8" ht="12">
      <c r="A54" s="275">
        <v>5139</v>
      </c>
      <c r="B54" s="187" t="s">
        <v>157</v>
      </c>
      <c r="C54" s="191">
        <f>SUMIF('Přehled smluv a faktur'!H11:H101,"=5139",'Přehled smluv a faktur'!K11:K101)</f>
        <v>0</v>
      </c>
      <c r="D54" s="191">
        <f>SUMIF('Přehled smluv a faktur'!H11:H101,"=5139",'Přehled smluv a faktur'!M11:M101)</f>
        <v>0</v>
      </c>
      <c r="F54" s="199" t="s">
        <v>102</v>
      </c>
      <c r="G54" s="200">
        <f>C67</f>
        <v>0</v>
      </c>
      <c r="H54" s="201">
        <f>D67</f>
        <v>15000</v>
      </c>
    </row>
    <row r="55" spans="1:8" ht="12">
      <c r="A55" s="192" t="s">
        <v>223</v>
      </c>
      <c r="B55" s="193" t="s">
        <v>173</v>
      </c>
      <c r="C55" s="194">
        <f>SUM(C50:C54)</f>
        <v>0</v>
      </c>
      <c r="D55" s="194">
        <f>SUM(D50:D54)</f>
        <v>0</v>
      </c>
      <c r="F55" s="202" t="s">
        <v>105</v>
      </c>
      <c r="G55" s="195">
        <f>G51</f>
        <v>0</v>
      </c>
      <c r="H55" s="203">
        <f>H51</f>
        <v>15001</v>
      </c>
    </row>
    <row r="56" spans="1:8" ht="12">
      <c r="A56" s="275">
        <v>5154</v>
      </c>
      <c r="B56" s="187" t="s">
        <v>163</v>
      </c>
      <c r="C56" s="191">
        <f>SUMIF('Přehled smluv a faktur'!H11:H101,"=5154",'Přehled smluv a faktur'!K11:K101)</f>
        <v>0</v>
      </c>
      <c r="D56" s="191">
        <f>SUMIF('Přehled smluv a faktur'!H11:H101,"=5154",'Přehled smluv a faktur'!M11:M101)</f>
        <v>0</v>
      </c>
      <c r="E56" s="187"/>
      <c r="F56" s="204" t="s">
        <v>175</v>
      </c>
      <c r="G56" s="205">
        <f>SUM(G54:G55)</f>
        <v>0</v>
      </c>
      <c r="H56" s="206">
        <f>SUM(H54:H55)</f>
        <v>30001</v>
      </c>
    </row>
    <row r="57" spans="1:8" ht="12">
      <c r="A57" s="275">
        <v>5155</v>
      </c>
      <c r="B57" s="187" t="s">
        <v>164</v>
      </c>
      <c r="C57" s="191">
        <f>SUMIF('Přehled smluv a faktur'!H11:H101,"=5155",'Přehled smluv a faktur'!K11:K101)</f>
        <v>0</v>
      </c>
      <c r="D57" s="191">
        <f>SUMIF('Přehled smluv a faktur'!H11:H101,"=5155",'Přehled smluv a faktur'!M11:M101)</f>
        <v>0</v>
      </c>
      <c r="E57" s="187"/>
      <c r="F57" s="197"/>
      <c r="G57" s="197"/>
      <c r="H57" s="197"/>
    </row>
    <row r="58" spans="1:8" ht="12">
      <c r="A58" s="275">
        <v>5156</v>
      </c>
      <c r="B58" s="187" t="s">
        <v>165</v>
      </c>
      <c r="C58" s="191">
        <f>SUMIF('Přehled smluv a faktur'!H11:H101,"=5156",'Přehled smluv a faktur'!K11:K101)</f>
        <v>0</v>
      </c>
      <c r="D58" s="191">
        <f>SUMIF('Přehled smluv a faktur'!H11:H101,"=5156",'Přehled smluv a faktur'!M11:M101)</f>
        <v>0</v>
      </c>
      <c r="E58" s="198"/>
      <c r="F58" s="280"/>
      <c r="G58" s="281"/>
      <c r="H58" s="281"/>
    </row>
    <row r="59" spans="1:8" ht="12">
      <c r="A59" s="275">
        <v>5157</v>
      </c>
      <c r="B59" s="187" t="s">
        <v>166</v>
      </c>
      <c r="C59" s="191">
        <f>SUMIF('Přehled smluv a faktur'!H11:H101,"=5157",'Přehled smluv a faktur'!K11:K101)</f>
        <v>0</v>
      </c>
      <c r="D59" s="191">
        <f>SUMIF('Přehled smluv a faktur'!H11:H101,"=5157",'Přehled smluv a faktur'!M11:M101)</f>
        <v>0</v>
      </c>
      <c r="E59" s="198"/>
      <c r="F59" s="280"/>
      <c r="G59" s="281"/>
      <c r="H59" s="281"/>
    </row>
    <row r="60" spans="1:8" ht="12">
      <c r="A60" s="275">
        <v>5159</v>
      </c>
      <c r="B60" s="187" t="s">
        <v>167</v>
      </c>
      <c r="C60" s="191">
        <f>SUMIF('Přehled smluv a faktur'!H11:H101,"=5159",'Přehled smluv a faktur'!K11:K101)</f>
        <v>0</v>
      </c>
      <c r="D60" s="191">
        <f>SUMIF('Přehled smluv a faktur'!H11:H101,"=5159",'Přehled smluv a faktur'!M11:M101)</f>
        <v>0</v>
      </c>
      <c r="E60" s="198"/>
      <c r="F60" s="280"/>
      <c r="G60" s="281"/>
      <c r="H60" s="281"/>
    </row>
    <row r="61" spans="1:8" ht="12">
      <c r="A61" s="192" t="s">
        <v>224</v>
      </c>
      <c r="B61" s="193" t="s">
        <v>225</v>
      </c>
      <c r="C61" s="194">
        <f>SUM(C56:C60)</f>
        <v>0</v>
      </c>
      <c r="D61" s="194">
        <f>SUM(D56:D60)</f>
        <v>0</v>
      </c>
      <c r="E61" s="198"/>
      <c r="F61" s="280"/>
      <c r="G61" s="281"/>
      <c r="H61" s="281"/>
    </row>
    <row r="62" spans="1:8" ht="12">
      <c r="A62" s="275">
        <v>5170</v>
      </c>
      <c r="B62" s="187" t="s">
        <v>168</v>
      </c>
      <c r="C62" s="191">
        <f>SUMIF('Přehled smluv a faktur'!H11:H101,"=5170",'Přehled smluv a faktur'!K11:K101)</f>
        <v>0</v>
      </c>
      <c r="D62" s="191">
        <f>SUMIF('Přehled smluv a faktur'!H11:H101,"=5170",'Přehled smluv a faktur'!M11:M101)</f>
        <v>0</v>
      </c>
      <c r="E62" s="198"/>
      <c r="F62" s="280"/>
      <c r="G62" s="281"/>
      <c r="H62" s="281"/>
    </row>
    <row r="63" spans="1:8" ht="12">
      <c r="A63" s="275">
        <v>5171</v>
      </c>
      <c r="B63" s="187" t="s">
        <v>169</v>
      </c>
      <c r="C63" s="191">
        <f>SUMIF('Přehled smluv a faktur'!H11:H101,"=5171",'Přehled smluv a faktur'!K11:K101)</f>
        <v>0</v>
      </c>
      <c r="D63" s="191">
        <f>SUMIF('Přehled smluv a faktur'!H11:H101,"=5171",'Přehled smluv a faktur'!M11:M101)</f>
        <v>0</v>
      </c>
      <c r="E63" s="198"/>
      <c r="F63" s="280"/>
      <c r="G63" s="281"/>
      <c r="H63" s="281"/>
    </row>
    <row r="64" spans="1:8" ht="12">
      <c r="A64" s="275">
        <v>5172</v>
      </c>
      <c r="B64" s="187" t="s">
        <v>170</v>
      </c>
      <c r="C64" s="191">
        <f>SUMIF('Přehled smluv a faktur'!H11:H101,"=5172",'Přehled smluv a faktur'!K11:K101)</f>
        <v>0</v>
      </c>
      <c r="D64" s="191">
        <f>SUMIF('Přehled smluv a faktur'!H11:H101,"=5172",'Přehled smluv a faktur'!M11:M101)</f>
        <v>0</v>
      </c>
      <c r="E64" s="198"/>
      <c r="F64" s="280"/>
      <c r="G64" s="281"/>
      <c r="H64" s="281"/>
    </row>
    <row r="65" spans="1:8" ht="12">
      <c r="A65" s="275">
        <v>5179</v>
      </c>
      <c r="B65" s="187" t="s">
        <v>171</v>
      </c>
      <c r="C65" s="191">
        <f>SUMIF('Přehled smluv a faktur'!H11:H101,"=5179",'Přehled smluv a faktur'!K11:K101)</f>
        <v>0</v>
      </c>
      <c r="D65" s="191">
        <f>SUMIF('Přehled smluv a faktur'!H11:H101,"=5179",'Přehled smluv a faktur'!M11:M101)</f>
        <v>0</v>
      </c>
      <c r="E65" s="198"/>
      <c r="F65" s="280"/>
      <c r="G65" s="281"/>
      <c r="H65" s="281"/>
    </row>
    <row r="66" spans="1:8" ht="12">
      <c r="A66" s="192" t="s">
        <v>226</v>
      </c>
      <c r="B66" s="193" t="s">
        <v>172</v>
      </c>
      <c r="C66" s="194">
        <f>SUM(C62:C65)</f>
        <v>0</v>
      </c>
      <c r="D66" s="194">
        <f>SUM(D62:D65)</f>
        <v>0</v>
      </c>
      <c r="E66" s="198"/>
      <c r="F66" s="280"/>
      <c r="G66" s="281"/>
      <c r="H66" s="281"/>
    </row>
    <row r="67" spans="1:8" ht="12">
      <c r="A67" s="192" t="s">
        <v>227</v>
      </c>
      <c r="B67" s="188" t="s">
        <v>174</v>
      </c>
      <c r="C67" s="194">
        <f>C66+C61+C55+C49+C39+C33+C23+C13+C8</f>
        <v>0</v>
      </c>
      <c r="D67" s="194">
        <f>D66+D61+D55+D49+D39+D33+D23+D13+D8</f>
        <v>15000</v>
      </c>
      <c r="E67" s="198"/>
      <c r="F67" s="280"/>
      <c r="G67" s="281"/>
      <c r="H67" s="281"/>
    </row>
    <row r="68" spans="5:6" ht="12">
      <c r="E68" s="207"/>
      <c r="F68" s="207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C41" sqref="C41"/>
    </sheetView>
  </sheetViews>
  <sheetFormatPr defaultColWidth="9.140625" defaultRowHeight="12.75"/>
  <cols>
    <col min="1" max="1" width="34.140625" style="179" customWidth="1"/>
    <col min="2" max="2" width="19.7109375" style="270" customWidth="1"/>
    <col min="3" max="3" width="18.57421875" style="179" customWidth="1"/>
    <col min="4" max="4" width="15.7109375" style="179" customWidth="1"/>
    <col min="5" max="5" width="15.57421875" style="181" customWidth="1"/>
    <col min="6" max="6" width="12.8515625" style="179" customWidth="1"/>
    <col min="7" max="16384" width="9.140625" style="179" customWidth="1"/>
  </cols>
  <sheetData>
    <row r="1" spans="1:6" ht="11.25" customHeight="1">
      <c r="A1" s="577" t="s">
        <v>178</v>
      </c>
      <c r="B1" s="577"/>
      <c r="C1" s="577"/>
      <c r="D1" s="271"/>
      <c r="E1" s="209"/>
      <c r="F1" s="210"/>
    </row>
    <row r="2" spans="2:4" ht="11.25" customHeight="1">
      <c r="B2" s="211"/>
      <c r="C2" s="182"/>
      <c r="D2" s="182"/>
    </row>
    <row r="3" spans="1:4" ht="11.25" customHeight="1">
      <c r="A3" s="212" t="s">
        <v>179</v>
      </c>
      <c r="B3" s="211"/>
      <c r="C3" s="182"/>
      <c r="D3" s="182"/>
    </row>
    <row r="4" spans="1:4" ht="11.25" customHeight="1">
      <c r="A4" s="213" t="s">
        <v>180</v>
      </c>
      <c r="B4" s="214" t="s">
        <v>181</v>
      </c>
      <c r="C4" s="578" t="s">
        <v>182</v>
      </c>
      <c r="D4" s="578"/>
    </row>
    <row r="5" spans="1:4" ht="11.25" customHeight="1">
      <c r="A5" s="215"/>
      <c r="B5" s="216"/>
      <c r="C5" s="579"/>
      <c r="D5" s="579"/>
    </row>
    <row r="6" spans="1:4" ht="11.25" customHeight="1">
      <c r="A6" s="217"/>
      <c r="B6" s="218"/>
      <c r="C6" s="575"/>
      <c r="D6" s="575"/>
    </row>
    <row r="7" spans="1:4" ht="11.25" customHeight="1">
      <c r="A7" s="219"/>
      <c r="B7" s="220"/>
      <c r="C7" s="575"/>
      <c r="D7" s="575"/>
    </row>
    <row r="8" spans="1:4" ht="11.25" customHeight="1">
      <c r="A8" s="221"/>
      <c r="B8" s="222"/>
      <c r="C8" s="576"/>
      <c r="D8" s="576"/>
    </row>
    <row r="9" ht="11.25" customHeight="1">
      <c r="B9" s="223"/>
    </row>
    <row r="10" spans="1:2" ht="11.25" customHeight="1">
      <c r="A10" s="224" t="s">
        <v>183</v>
      </c>
      <c r="B10" s="223"/>
    </row>
    <row r="11" spans="1:5" ht="18.75" customHeight="1">
      <c r="A11" s="225" t="s">
        <v>184</v>
      </c>
      <c r="B11" s="226" t="s">
        <v>185</v>
      </c>
      <c r="C11" s="227" t="s">
        <v>186</v>
      </c>
      <c r="D11" s="228" t="s">
        <v>187</v>
      </c>
      <c r="E11" s="229"/>
    </row>
    <row r="12" spans="1:5" ht="11.25" customHeight="1">
      <c r="A12" s="230" t="s">
        <v>188</v>
      </c>
      <c r="B12" s="231"/>
      <c r="C12" s="232"/>
      <c r="D12" s="233"/>
      <c r="E12" s="234"/>
    </row>
    <row r="13" spans="1:5" ht="11.25" customHeight="1">
      <c r="A13" s="235" t="s">
        <v>189</v>
      </c>
      <c r="B13" s="236"/>
      <c r="C13" s="237"/>
      <c r="D13" s="238"/>
      <c r="E13" s="234"/>
    </row>
    <row r="14" spans="1:5" ht="11.25" customHeight="1">
      <c r="A14" s="182"/>
      <c r="B14" s="239"/>
      <c r="C14" s="240"/>
      <c r="D14" s="240"/>
      <c r="E14" s="240"/>
    </row>
    <row r="15" spans="1:5" ht="11.25" customHeight="1" hidden="1">
      <c r="A15" s="241" t="s">
        <v>190</v>
      </c>
      <c r="B15" s="239"/>
      <c r="C15" s="240"/>
      <c r="D15" s="240"/>
      <c r="E15" s="240"/>
    </row>
    <row r="16" spans="1:5" ht="11.25" customHeight="1" hidden="1">
      <c r="A16" s="182"/>
      <c r="B16" s="239"/>
      <c r="C16" s="240"/>
      <c r="D16" s="240"/>
      <c r="E16" s="240"/>
    </row>
    <row r="17" spans="1:6" ht="11.25" customHeight="1" hidden="1">
      <c r="A17" s="544" t="s">
        <v>191</v>
      </c>
      <c r="B17" s="567" t="s">
        <v>192</v>
      </c>
      <c r="C17" s="569" t="s">
        <v>193</v>
      </c>
      <c r="D17" s="566" t="s">
        <v>194</v>
      </c>
      <c r="E17" s="566"/>
      <c r="F17" s="566" t="s">
        <v>187</v>
      </c>
    </row>
    <row r="18" spans="1:6" ht="11.25" customHeight="1" hidden="1">
      <c r="A18" s="545"/>
      <c r="B18" s="568"/>
      <c r="C18" s="570"/>
      <c r="D18" s="242" t="s">
        <v>195</v>
      </c>
      <c r="E18" s="243" t="s">
        <v>196</v>
      </c>
      <c r="F18" s="566"/>
    </row>
    <row r="19" spans="1:6" ht="11.25" customHeight="1" hidden="1">
      <c r="A19" s="244"/>
      <c r="B19" s="245"/>
      <c r="C19" s="245"/>
      <c r="D19" s="245"/>
      <c r="E19" s="245"/>
      <c r="F19" s="246"/>
    </row>
    <row r="20" spans="1:6" ht="11.25" customHeight="1" hidden="1">
      <c r="A20" s="247"/>
      <c r="B20" s="233"/>
      <c r="C20" s="248"/>
      <c r="D20" s="248"/>
      <c r="E20" s="233"/>
      <c r="F20" s="249"/>
    </row>
    <row r="21" spans="1:6" ht="11.25" customHeight="1" hidden="1">
      <c r="A21" s="250"/>
      <c r="B21" s="251"/>
      <c r="C21" s="252"/>
      <c r="D21" s="252"/>
      <c r="E21" s="251"/>
      <c r="F21" s="253"/>
    </row>
    <row r="22" spans="1:5" ht="11.25" customHeight="1">
      <c r="A22" s="182" t="s">
        <v>190</v>
      </c>
      <c r="B22" s="239"/>
      <c r="C22" s="240"/>
      <c r="D22" s="240"/>
      <c r="E22" s="240"/>
    </row>
    <row r="23" spans="1:6" ht="11.25" customHeight="1">
      <c r="A23" s="544" t="s">
        <v>191</v>
      </c>
      <c r="B23" s="567" t="s">
        <v>192</v>
      </c>
      <c r="C23" s="569" t="s">
        <v>197</v>
      </c>
      <c r="D23" s="566" t="s">
        <v>194</v>
      </c>
      <c r="E23" s="566"/>
      <c r="F23" s="566" t="s">
        <v>187</v>
      </c>
    </row>
    <row r="24" spans="1:6" ht="11.25" customHeight="1">
      <c r="A24" s="545"/>
      <c r="B24" s="568"/>
      <c r="C24" s="570"/>
      <c r="D24" s="242" t="s">
        <v>195</v>
      </c>
      <c r="E24" s="243" t="s">
        <v>196</v>
      </c>
      <c r="F24" s="566"/>
    </row>
    <row r="25" spans="1:6" ht="11.25" customHeight="1">
      <c r="A25" s="244"/>
      <c r="B25" s="245"/>
      <c r="C25" s="245"/>
      <c r="D25" s="245"/>
      <c r="E25" s="245"/>
      <c r="F25" s="246"/>
    </row>
    <row r="26" spans="1:6" ht="11.25" customHeight="1">
      <c r="A26" s="247"/>
      <c r="B26" s="233"/>
      <c r="C26" s="248"/>
      <c r="D26" s="248"/>
      <c r="E26" s="233"/>
      <c r="F26" s="254"/>
    </row>
    <row r="27" spans="1:6" ht="11.25" customHeight="1">
      <c r="A27" s="235"/>
      <c r="B27" s="238"/>
      <c r="C27" s="255"/>
      <c r="D27" s="255"/>
      <c r="E27" s="238"/>
      <c r="F27" s="256"/>
    </row>
    <row r="28" spans="1:6" ht="11.25" customHeight="1">
      <c r="A28" s="257"/>
      <c r="B28" s="258"/>
      <c r="C28" s="259"/>
      <c r="D28" s="259"/>
      <c r="E28" s="258"/>
      <c r="F28" s="260"/>
    </row>
    <row r="29" spans="1:6" ht="11.25" customHeight="1">
      <c r="A29" s="261" t="s">
        <v>198</v>
      </c>
      <c r="B29" s="262"/>
      <c r="C29" s="263"/>
      <c r="D29" s="263"/>
      <c r="E29" s="262"/>
      <c r="F29" s="264"/>
    </row>
    <row r="30" spans="1:6" ht="11.25" customHeight="1">
      <c r="A30" s="544" t="s">
        <v>199</v>
      </c>
      <c r="B30" s="567" t="s">
        <v>192</v>
      </c>
      <c r="C30" s="569" t="s">
        <v>200</v>
      </c>
      <c r="D30" s="566" t="s">
        <v>201</v>
      </c>
      <c r="E30" s="566"/>
      <c r="F30" s="566" t="s">
        <v>187</v>
      </c>
    </row>
    <row r="31" spans="1:6" ht="13.5" customHeight="1">
      <c r="A31" s="545"/>
      <c r="B31" s="568"/>
      <c r="C31" s="570"/>
      <c r="D31" s="242" t="s">
        <v>195</v>
      </c>
      <c r="E31" s="243" t="s">
        <v>196</v>
      </c>
      <c r="F31" s="566"/>
    </row>
    <row r="32" spans="1:6" ht="11.25" customHeight="1">
      <c r="A32" s="244"/>
      <c r="B32" s="245"/>
      <c r="C32" s="245"/>
      <c r="D32" s="245"/>
      <c r="E32" s="245"/>
      <c r="F32" s="246"/>
    </row>
    <row r="33" spans="1:6" ht="11.25" customHeight="1">
      <c r="A33" s="247"/>
      <c r="B33" s="233"/>
      <c r="C33" s="248"/>
      <c r="D33" s="248"/>
      <c r="E33" s="233"/>
      <c r="F33" s="254"/>
    </row>
    <row r="34" spans="1:6" ht="11.25" customHeight="1">
      <c r="A34" s="247"/>
      <c r="B34" s="233"/>
      <c r="C34" s="248"/>
      <c r="D34" s="248"/>
      <c r="E34" s="233"/>
      <c r="F34" s="254"/>
    </row>
    <row r="35" spans="1:6" ht="11.25" customHeight="1">
      <c r="A35" s="247"/>
      <c r="B35" s="233"/>
      <c r="C35" s="248"/>
      <c r="D35" s="248"/>
      <c r="E35" s="233"/>
      <c r="F35" s="254"/>
    </row>
    <row r="36" spans="1:6" ht="11.25" customHeight="1">
      <c r="A36" s="247"/>
      <c r="B36" s="233"/>
      <c r="C36" s="248"/>
      <c r="D36" s="248"/>
      <c r="E36" s="233"/>
      <c r="F36" s="254"/>
    </row>
    <row r="37" spans="1:6" ht="11.25" customHeight="1">
      <c r="A37" s="247"/>
      <c r="B37" s="233"/>
      <c r="C37" s="248"/>
      <c r="D37" s="248"/>
      <c r="E37" s="233"/>
      <c r="F37" s="254"/>
    </row>
    <row r="38" spans="1:6" ht="11.25" customHeight="1">
      <c r="A38" s="247"/>
      <c r="B38" s="233"/>
      <c r="C38" s="248"/>
      <c r="D38" s="248"/>
      <c r="E38" s="233"/>
      <c r="F38" s="254"/>
    </row>
    <row r="39" spans="1:6" ht="11.25" customHeight="1">
      <c r="A39" s="250"/>
      <c r="B39" s="251"/>
      <c r="C39" s="252"/>
      <c r="D39" s="252"/>
      <c r="E39" s="251"/>
      <c r="F39" s="265"/>
    </row>
    <row r="40" spans="1:5" ht="12.75" customHeight="1">
      <c r="A40" s="182"/>
      <c r="B40" s="239"/>
      <c r="C40" s="240"/>
      <c r="D40" s="240"/>
      <c r="E40" s="240"/>
    </row>
    <row r="41" spans="1:5" ht="12.75" customHeight="1">
      <c r="A41" s="212" t="s">
        <v>202</v>
      </c>
      <c r="B41" s="239"/>
      <c r="C41" s="240"/>
      <c r="D41" s="240"/>
      <c r="E41" s="240"/>
    </row>
    <row r="42" spans="1:6" ht="18.75" customHeight="1">
      <c r="A42" s="546" t="s">
        <v>203</v>
      </c>
      <c r="B42" s="547"/>
      <c r="C42" s="266" t="s">
        <v>204</v>
      </c>
      <c r="D42" s="546" t="s">
        <v>205</v>
      </c>
      <c r="E42" s="548"/>
      <c r="F42" s="549"/>
    </row>
    <row r="43" spans="1:6" ht="11.25" customHeight="1">
      <c r="A43" s="571"/>
      <c r="B43" s="572"/>
      <c r="C43" s="267"/>
      <c r="D43" s="573"/>
      <c r="E43" s="574"/>
      <c r="F43" s="572"/>
    </row>
    <row r="44" spans="1:6" ht="11.25" customHeight="1">
      <c r="A44" s="540"/>
      <c r="B44" s="541"/>
      <c r="C44" s="268"/>
      <c r="D44" s="542"/>
      <c r="E44" s="543"/>
      <c r="F44" s="541"/>
    </row>
    <row r="45" spans="1:6" ht="11.25" customHeight="1">
      <c r="A45" s="540"/>
      <c r="B45" s="541"/>
      <c r="C45" s="268"/>
      <c r="D45" s="542"/>
      <c r="E45" s="543"/>
      <c r="F45" s="541"/>
    </row>
    <row r="46" spans="1:6" ht="11.25" customHeight="1">
      <c r="A46" s="562"/>
      <c r="B46" s="563"/>
      <c r="C46" s="269"/>
      <c r="D46" s="564"/>
      <c r="E46" s="565"/>
      <c r="F46" s="563"/>
    </row>
    <row r="48" spans="1:10" ht="9.75">
      <c r="A48" s="537" t="s">
        <v>207</v>
      </c>
      <c r="B48" s="537" t="s">
        <v>97</v>
      </c>
      <c r="C48" s="550" t="s">
        <v>98</v>
      </c>
      <c r="D48" s="551"/>
      <c r="E48" s="537" t="s">
        <v>99</v>
      </c>
      <c r="F48" s="558"/>
      <c r="G48" s="559"/>
      <c r="H48" s="551"/>
      <c r="I48" s="273"/>
      <c r="J48" s="272"/>
    </row>
    <row r="49" spans="1:10" ht="9.75">
      <c r="A49" s="538"/>
      <c r="B49" s="538"/>
      <c r="C49" s="552"/>
      <c r="D49" s="553"/>
      <c r="E49" s="556"/>
      <c r="F49" s="552"/>
      <c r="G49" s="560"/>
      <c r="H49" s="553"/>
      <c r="I49" s="272"/>
      <c r="J49" s="272"/>
    </row>
    <row r="50" spans="1:10" ht="9.75">
      <c r="A50" s="539"/>
      <c r="B50" s="539"/>
      <c r="C50" s="554"/>
      <c r="D50" s="555"/>
      <c r="E50" s="557"/>
      <c r="F50" s="554"/>
      <c r="G50" s="561"/>
      <c r="H50" s="555"/>
      <c r="I50" s="272"/>
      <c r="J50" s="272"/>
    </row>
  </sheetData>
  <sheetProtection/>
  <protectedRanges>
    <protectedRange sqref="C48:D48" name="Oblast3"/>
  </protectedRanges>
  <mergeCells count="36">
    <mergeCell ref="A1:C1"/>
    <mergeCell ref="C4:D4"/>
    <mergeCell ref="C5:D5"/>
    <mergeCell ref="C6:D6"/>
    <mergeCell ref="A17:A18"/>
    <mergeCell ref="B17:B18"/>
    <mergeCell ref="C17:C18"/>
    <mergeCell ref="D17:E17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A46:B46"/>
    <mergeCell ref="D46:F46"/>
    <mergeCell ref="D23:E23"/>
    <mergeCell ref="B30:B31"/>
    <mergeCell ref="C30:C31"/>
    <mergeCell ref="D30:E30"/>
    <mergeCell ref="A43:B43"/>
    <mergeCell ref="D43:F43"/>
    <mergeCell ref="A48:A50"/>
    <mergeCell ref="B48:B50"/>
    <mergeCell ref="A44:B44"/>
    <mergeCell ref="D44:F44"/>
    <mergeCell ref="A30:A31"/>
    <mergeCell ref="A42:B42"/>
    <mergeCell ref="D42:F42"/>
    <mergeCell ref="C48:D50"/>
    <mergeCell ref="E48:E50"/>
    <mergeCell ref="F48:H50"/>
  </mergeCells>
  <printOptions/>
  <pageMargins left="0.787401575" right="0.787401575" top="0.984251969" bottom="0.984251969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75">
        <v>5010</v>
      </c>
      <c r="B1" s="275">
        <v>6010</v>
      </c>
      <c r="C1" t="s">
        <v>176</v>
      </c>
    </row>
    <row r="2" spans="1:3" ht="12.75">
      <c r="A2" s="275">
        <v>5011</v>
      </c>
      <c r="B2" s="275">
        <v>6011</v>
      </c>
      <c r="C2" t="s">
        <v>177</v>
      </c>
    </row>
    <row r="3" spans="1:2" ht="12.75">
      <c r="A3" s="275">
        <v>5012</v>
      </c>
      <c r="B3" s="275">
        <v>6012</v>
      </c>
    </row>
    <row r="4" spans="1:2" ht="12.75">
      <c r="A4" s="275">
        <v>5014</v>
      </c>
      <c r="B4" s="275">
        <v>6013</v>
      </c>
    </row>
    <row r="5" spans="1:2" ht="12.75">
      <c r="A5" s="275">
        <v>5019</v>
      </c>
      <c r="B5" s="275">
        <v>6014</v>
      </c>
    </row>
    <row r="6" spans="1:2" ht="12.75">
      <c r="A6" s="275">
        <v>5030</v>
      </c>
      <c r="B6" s="275">
        <v>6019</v>
      </c>
    </row>
    <row r="7" spans="1:2" ht="12.75">
      <c r="A7" s="275">
        <v>5031</v>
      </c>
      <c r="B7" s="275">
        <v>6090</v>
      </c>
    </row>
    <row r="8" spans="1:2" ht="12.75">
      <c r="A8" s="275">
        <v>5032</v>
      </c>
      <c r="B8" s="275">
        <v>6091</v>
      </c>
    </row>
    <row r="9" spans="1:2" ht="12.75">
      <c r="A9" s="275">
        <v>5039</v>
      </c>
      <c r="B9" s="275">
        <v>6092</v>
      </c>
    </row>
    <row r="10" spans="1:2" ht="12.75">
      <c r="A10" s="275">
        <v>5050</v>
      </c>
      <c r="B10" s="275">
        <v>6093</v>
      </c>
    </row>
    <row r="11" spans="1:2" ht="12.75">
      <c r="A11" s="275">
        <v>5051</v>
      </c>
      <c r="B11" s="275">
        <v>6094</v>
      </c>
    </row>
    <row r="12" spans="1:2" ht="12.75">
      <c r="A12" s="275">
        <v>5052</v>
      </c>
      <c r="B12" s="275">
        <v>6095</v>
      </c>
    </row>
    <row r="13" spans="1:2" ht="12.75">
      <c r="A13" s="275">
        <v>5053</v>
      </c>
      <c r="B13" s="275">
        <v>6096</v>
      </c>
    </row>
    <row r="14" spans="1:2" ht="12.75">
      <c r="A14" s="275">
        <v>5054</v>
      </c>
      <c r="B14" s="275">
        <v>6097</v>
      </c>
    </row>
    <row r="15" spans="1:2" ht="12.75">
      <c r="A15" s="275">
        <v>5055</v>
      </c>
      <c r="B15" s="275">
        <v>6099</v>
      </c>
    </row>
    <row r="16" spans="1:2" ht="12.75">
      <c r="A16" s="275">
        <v>5056</v>
      </c>
      <c r="B16" s="275">
        <v>6110</v>
      </c>
    </row>
    <row r="17" spans="1:2" ht="12.75">
      <c r="A17" s="275">
        <v>5057</v>
      </c>
      <c r="B17" s="275">
        <v>6111</v>
      </c>
    </row>
    <row r="18" spans="1:2" ht="12.75">
      <c r="A18" s="275">
        <v>5058</v>
      </c>
      <c r="B18" s="275">
        <v>6112</v>
      </c>
    </row>
    <row r="19" spans="1:2" ht="12.75">
      <c r="A19" s="275">
        <v>5070</v>
      </c>
      <c r="B19" s="275">
        <v>6113</v>
      </c>
    </row>
    <row r="20" spans="1:2" ht="12.75">
      <c r="A20" s="275">
        <v>5071</v>
      </c>
      <c r="B20" s="275">
        <v>6114</v>
      </c>
    </row>
    <row r="21" spans="1:2" ht="12.75">
      <c r="A21" s="275">
        <v>5072</v>
      </c>
      <c r="B21" s="275">
        <v>6115</v>
      </c>
    </row>
    <row r="22" spans="1:2" ht="12.75">
      <c r="A22" s="275">
        <v>5073</v>
      </c>
      <c r="B22" s="275">
        <v>6116</v>
      </c>
    </row>
    <row r="23" spans="1:2" ht="12.75">
      <c r="A23" s="275">
        <v>5074</v>
      </c>
      <c r="B23" s="275">
        <v>6117</v>
      </c>
    </row>
    <row r="24" spans="1:2" ht="12.75">
      <c r="A24" s="275">
        <v>5075</v>
      </c>
      <c r="B24" s="275">
        <v>6119</v>
      </c>
    </row>
    <row r="25" spans="1:2" ht="12.75">
      <c r="A25" s="275">
        <v>5076</v>
      </c>
      <c r="B25" s="275">
        <v>6130</v>
      </c>
    </row>
    <row r="26" spans="1:2" ht="12.75">
      <c r="A26" s="275">
        <v>5077</v>
      </c>
      <c r="B26" s="275">
        <v>6131</v>
      </c>
    </row>
    <row r="27" spans="1:2" ht="12.75">
      <c r="A27" s="275">
        <v>5078</v>
      </c>
      <c r="B27" s="275">
        <v>6132</v>
      </c>
    </row>
    <row r="28" spans="1:2" ht="12.75">
      <c r="A28" s="275">
        <v>5090</v>
      </c>
      <c r="B28" s="275">
        <v>6133</v>
      </c>
    </row>
    <row r="29" spans="1:2" ht="12.75">
      <c r="A29" s="275">
        <v>5091</v>
      </c>
      <c r="B29" s="275">
        <v>6139</v>
      </c>
    </row>
    <row r="30" spans="1:2" ht="12.75">
      <c r="A30" s="275">
        <v>5093</v>
      </c>
      <c r="B30" s="275">
        <v>6150</v>
      </c>
    </row>
    <row r="31" spans="1:2" ht="12.75">
      <c r="A31" s="275">
        <v>5095</v>
      </c>
      <c r="B31" s="275">
        <v>6151</v>
      </c>
    </row>
    <row r="32" spans="1:2" ht="12.75">
      <c r="A32" s="275">
        <v>5099</v>
      </c>
      <c r="B32" s="275">
        <v>6152</v>
      </c>
    </row>
    <row r="33" spans="1:2" ht="12.75">
      <c r="A33" s="275">
        <v>5110</v>
      </c>
      <c r="B33" s="275">
        <v>6153</v>
      </c>
    </row>
    <row r="34" spans="1:2" ht="12.75">
      <c r="A34" s="275">
        <v>5111</v>
      </c>
      <c r="B34" s="275">
        <v>6154</v>
      </c>
    </row>
    <row r="35" spans="1:2" ht="12.75">
      <c r="A35" s="275">
        <v>5112</v>
      </c>
      <c r="B35" s="275">
        <v>6155</v>
      </c>
    </row>
    <row r="36" spans="1:2" ht="12.75">
      <c r="A36" s="275">
        <v>5113</v>
      </c>
      <c r="B36" s="275">
        <v>6156</v>
      </c>
    </row>
    <row r="37" spans="1:2" ht="12.75">
      <c r="A37" s="275">
        <v>5114</v>
      </c>
      <c r="B37" s="275">
        <v>6157</v>
      </c>
    </row>
    <row r="38" spans="1:2" ht="12.75">
      <c r="A38" s="275">
        <v>5115</v>
      </c>
      <c r="B38" s="275">
        <v>6159</v>
      </c>
    </row>
    <row r="39" spans="1:2" ht="12.75">
      <c r="A39" s="275">
        <v>5116</v>
      </c>
      <c r="B39" s="275">
        <v>6170</v>
      </c>
    </row>
    <row r="40" spans="1:2" ht="12.75">
      <c r="A40" s="275">
        <v>5117</v>
      </c>
      <c r="B40" s="275">
        <v>6171</v>
      </c>
    </row>
    <row r="41" spans="1:2" ht="12.75">
      <c r="A41" s="275">
        <v>5119</v>
      </c>
      <c r="B41" s="275">
        <v>6172</v>
      </c>
    </row>
    <row r="42" spans="1:2" ht="12.75">
      <c r="A42" s="275">
        <v>5130</v>
      </c>
      <c r="B42" s="275">
        <v>6179</v>
      </c>
    </row>
    <row r="43" ht="12.75">
      <c r="A43" s="275">
        <v>5131</v>
      </c>
    </row>
    <row r="44" ht="12.75">
      <c r="A44" s="275">
        <v>5132</v>
      </c>
    </row>
    <row r="45" ht="12.75">
      <c r="A45" s="275">
        <v>5133</v>
      </c>
    </row>
    <row r="46" ht="12.75">
      <c r="A46" s="275">
        <v>5139</v>
      </c>
    </row>
    <row r="47" ht="12.75">
      <c r="A47" s="275">
        <v>5154</v>
      </c>
    </row>
    <row r="48" ht="12.75">
      <c r="A48" s="275">
        <v>5155</v>
      </c>
    </row>
    <row r="49" ht="12.75">
      <c r="A49" s="275">
        <v>5156</v>
      </c>
    </row>
    <row r="50" ht="12.75">
      <c r="A50" s="275">
        <v>5157</v>
      </c>
    </row>
    <row r="51" ht="12.75">
      <c r="A51" s="275">
        <v>5159</v>
      </c>
    </row>
    <row r="52" spans="1:2" ht="12.75">
      <c r="A52" s="283">
        <v>5170</v>
      </c>
      <c r="B52" s="193"/>
    </row>
    <row r="53" ht="12.75">
      <c r="A53" s="283">
        <v>5171</v>
      </c>
    </row>
    <row r="54" ht="12.75">
      <c r="A54" s="283">
        <v>5172</v>
      </c>
    </row>
    <row r="55" ht="12.75">
      <c r="A55" s="283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Solověvová Jana Ing. (MPSV)</cp:lastModifiedBy>
  <cp:lastPrinted>2013-06-13T14:03:34Z</cp:lastPrinted>
  <dcterms:created xsi:type="dcterms:W3CDTF">2005-10-27T08:47:25Z</dcterms:created>
  <dcterms:modified xsi:type="dcterms:W3CDTF">2013-08-16T11:42:56Z</dcterms:modified>
  <cp:category/>
  <cp:version/>
  <cp:contentType/>
  <cp:contentStatus/>
</cp:coreProperties>
</file>